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terres\Seafile\CAFOGES und KLiOL\"/>
    </mc:Choice>
  </mc:AlternateContent>
  <bookViews>
    <workbookView xWindow="0" yWindow="0" windowWidth="19155" windowHeight="8175" activeTab="3"/>
  </bookViews>
  <sheets>
    <sheet name="Anästhesiegase" sheetId="6" r:id="rId1"/>
    <sheet name="Geschäftsreisen" sheetId="3" r:id="rId2"/>
    <sheet name="Mobilität Mitarbeitende" sheetId="2" r:id="rId3"/>
    <sheet name="Mobilität Patientinnen" sheetId="4" r:id="rId4"/>
  </sheets>
  <externalReferences>
    <externalReference r:id="rId5"/>
  </externalReferences>
  <definedNames>
    <definedName name="Anzahl_Mitarbeiterinnen">#REF!</definedName>
    <definedName name="Auswahl_PLZ_Gebiet">#REF!</definedName>
    <definedName name="Brutto_Nutzungsgrade_Biogas">#REF!</definedName>
    <definedName name="Brutto_Nutzungsgrade_Braunkohle">#REF!</definedName>
    <definedName name="Brutto_Nutzungsgrade_Erdgas">#REF!</definedName>
    <definedName name="Brutto_Nutzungsgrade_Flüssig_Biomasse">#REF!</definedName>
    <definedName name="Brutto_Nutzungsgrade_Holz">#REF!</definedName>
    <definedName name="Brutto_Nutzungsgrade_Öl">#REF!</definedName>
    <definedName name="Brutto_Nutzungsgrade_Steinkohle">#REF!</definedName>
    <definedName name="lol">[1]EF!$N$1:$N$10</definedName>
    <definedName name="Methan_IPCC_AR6">#REF!</definedName>
    <definedName name="N2O_IPCC_AR6">#REF!</definedName>
    <definedName name="Netto_BruttoStrom_Ratio_Biogas">#REF!</definedName>
    <definedName name="Netto_BruttoStrom_Ratio_Braunkohle">#REF!</definedName>
    <definedName name="Netto_BruttoStrom_Ratio_Erdgas">#REF!</definedName>
    <definedName name="Netto_BruttoStrom_Ratio_flüssig_Biomasse">#REF!</definedName>
    <definedName name="Netto_BruttoStrom_Ratio_Holz">#REF!</definedName>
    <definedName name="Netto_BruttoStrom_Ratio_Öl">#REF!</definedName>
    <definedName name="Netto_BruttoStrom_Ratio_Steinkohle">#REF!</definedName>
    <definedName name="PLZ_Gebiet">#REF!</definedName>
    <definedName name="PLZ_Gebiet_klug">#REF!</definedName>
    <definedName name="Result_Scope3_P_Mobilität_Notfall_Helikoper" localSheetId="3">'Mobilität Patientinnen'!$G$552</definedName>
    <definedName name="Result_Scope3_P_Mobilität_Notfall_Helikoper">'Mobilität Mitarbeitende'!$G$494</definedName>
    <definedName name="Result_Scope3_P_Mobilität_Notfall_K_RTW_PKW" localSheetId="3">#REF!</definedName>
    <definedName name="Result_Scope3_P_Mobilität_Notfall_K_RTW_PKW">#REF!</definedName>
    <definedName name="Result_Scope3_Patient_Regelkontakte_innerhalb_DE" localSheetId="3">'Mobilität Patientinnen'!$G$598</definedName>
    <definedName name="Result_Scope3_Patient_Regelkontakte_innerhalb_DE">'Mobilität Mitarbeitende'!$G$540</definedName>
    <definedName name="Result_Scope3_Patient_Regelkontakte_Non_DE" localSheetId="3">#REF!</definedName>
    <definedName name="Result_Scope3_Patient_Regelkontakte_Non_DE">#REF!</definedName>
    <definedName name="Result_Scope3_Patient_Verlegung" localSheetId="3">#REF!</definedName>
    <definedName name="Result_Scope3_Patient_Verlegung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4" l="1"/>
  <c r="F21" i="4" l="1"/>
  <c r="D22" i="4" l="1"/>
  <c r="J58" i="4" l="1"/>
  <c r="F49" i="4" l="1"/>
  <c r="G49" i="4" s="1"/>
  <c r="F51" i="4"/>
  <c r="G51" i="4" s="1"/>
  <c r="F48" i="4"/>
  <c r="G48" i="4" s="1"/>
  <c r="F47" i="4"/>
  <c r="G47" i="4" s="1"/>
  <c r="F46" i="4"/>
  <c r="G46" i="4" s="1"/>
  <c r="F44" i="4"/>
  <c r="G44" i="4" s="1"/>
  <c r="G43" i="4"/>
  <c r="F52" i="4"/>
  <c r="G52" i="4" s="1"/>
  <c r="F50" i="4"/>
  <c r="G50" i="4" s="1"/>
  <c r="F45" i="4" l="1"/>
  <c r="G45" i="4" s="1"/>
  <c r="D28" i="2"/>
  <c r="D122" i="4" l="1"/>
  <c r="F122" i="4" s="1"/>
  <c r="H122" i="4" s="1"/>
  <c r="D123" i="4"/>
  <c r="F123" i="4" s="1"/>
  <c r="H123" i="4" s="1"/>
  <c r="D124" i="4"/>
  <c r="F124" i="4" s="1"/>
  <c r="H124" i="4" s="1"/>
  <c r="D125" i="4"/>
  <c r="F125" i="4" s="1"/>
  <c r="H125" i="4" s="1"/>
  <c r="D121" i="4"/>
  <c r="F121" i="4" s="1"/>
  <c r="H121" i="4" s="1"/>
  <c r="J126" i="4"/>
  <c r="D53" i="4"/>
  <c r="E46" i="4" l="1"/>
  <c r="E47" i="4"/>
  <c r="H22" i="4"/>
  <c r="H132" i="4" s="1"/>
  <c r="H21" i="4"/>
  <c r="H126" i="4"/>
  <c r="H134" i="4" s="1"/>
  <c r="D126" i="4"/>
  <c r="E49" i="4"/>
  <c r="E48" i="4"/>
  <c r="E43" i="4"/>
  <c r="E45" i="4"/>
  <c r="E52" i="4"/>
  <c r="E44" i="4"/>
  <c r="E51" i="4"/>
  <c r="E50" i="4"/>
  <c r="G53" i="4"/>
  <c r="E28" i="2"/>
  <c r="E29" i="2" s="1"/>
  <c r="D46" i="2"/>
  <c r="G36" i="6"/>
  <c r="D82" i="3"/>
  <c r="D81" i="3"/>
  <c r="D83" i="3"/>
  <c r="D84" i="3"/>
  <c r="D85" i="3"/>
  <c r="D86" i="3"/>
  <c r="D110" i="3"/>
  <c r="H101" i="3"/>
  <c r="H102" i="3" s="1"/>
  <c r="H110" i="3" s="1"/>
  <c r="H184" i="3" s="1"/>
  <c r="D95" i="3"/>
  <c r="D109" i="3" s="1"/>
  <c r="D57" i="4" l="1"/>
  <c r="H57" i="4" s="1"/>
  <c r="H58" i="4" s="1"/>
  <c r="H133" i="4" s="1"/>
  <c r="H135" i="4" s="1"/>
  <c r="C55" i="2"/>
  <c r="C54" i="2"/>
  <c r="C53" i="2"/>
  <c r="C52" i="2"/>
  <c r="E53" i="4"/>
  <c r="F82" i="3"/>
  <c r="H82" i="3" s="1"/>
  <c r="F83" i="3"/>
  <c r="H83" i="3" s="1"/>
  <c r="F84" i="3"/>
  <c r="F85" i="3"/>
  <c r="H85" i="3" s="1"/>
  <c r="F86" i="3"/>
  <c r="H86" i="3" s="1"/>
  <c r="F81" i="3" l="1"/>
  <c r="H81" i="3" s="1"/>
  <c r="D87" i="3"/>
  <c r="D108" i="3" s="1"/>
  <c r="H84" i="3"/>
  <c r="F87" i="3" l="1"/>
  <c r="H87" i="3"/>
  <c r="H108" i="3" s="1"/>
  <c r="H182" i="3" s="1"/>
  <c r="F94" i="3"/>
  <c r="H94" i="3" s="1"/>
  <c r="F93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20" i="3"/>
  <c r="H174" i="3" l="1"/>
  <c r="H185" i="3" s="1"/>
  <c r="F95" i="3"/>
  <c r="H93" i="3"/>
  <c r="H95" i="3" l="1"/>
  <c r="H109" i="3" s="1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5" i="6"/>
  <c r="G34" i="6"/>
  <c r="G33" i="6"/>
  <c r="G32" i="6"/>
  <c r="E22" i="6"/>
  <c r="E21" i="6"/>
  <c r="E20" i="6"/>
  <c r="H111" i="3" l="1"/>
  <c r="H183" i="3"/>
  <c r="H186" i="3" s="1"/>
  <c r="G20" i="6"/>
  <c r="G22" i="6"/>
  <c r="G21" i="6"/>
  <c r="C57" i="2" l="1"/>
  <c r="D57" i="2" s="1"/>
  <c r="C58" i="2"/>
  <c r="H58" i="2" s="1"/>
  <c r="C56" i="2"/>
  <c r="H53" i="2"/>
  <c r="H57" i="2" l="1"/>
  <c r="G57" i="2"/>
  <c r="F57" i="2"/>
  <c r="E57" i="2"/>
  <c r="D58" i="2"/>
  <c r="E58" i="2"/>
  <c r="F58" i="2"/>
  <c r="G58" i="2"/>
  <c r="D53" i="2"/>
  <c r="G53" i="2"/>
  <c r="F53" i="2"/>
  <c r="E53" i="2"/>
  <c r="H54" i="2"/>
  <c r="E54" i="2"/>
  <c r="G54" i="2"/>
  <c r="F54" i="2"/>
  <c r="D54" i="2"/>
  <c r="H56" i="2"/>
  <c r="F56" i="2"/>
  <c r="D56" i="2"/>
  <c r="G56" i="2"/>
  <c r="E56" i="2"/>
  <c r="E52" i="2"/>
  <c r="D52" i="2"/>
  <c r="C59" i="2"/>
  <c r="C60" i="2" s="1"/>
  <c r="H52" i="2"/>
  <c r="G52" i="2"/>
  <c r="F52" i="2"/>
  <c r="H55" i="2"/>
  <c r="D55" i="2"/>
  <c r="G55" i="2"/>
  <c r="F55" i="2"/>
  <c r="E55" i="2"/>
  <c r="D59" i="2" l="1"/>
  <c r="D60" i="2" s="1"/>
  <c r="F59" i="2"/>
  <c r="D69" i="2" s="1"/>
  <c r="E59" i="2"/>
  <c r="E60" i="2" s="1"/>
  <c r="G59" i="2"/>
  <c r="D71" i="2" s="1"/>
  <c r="G60" i="2" l="1"/>
  <c r="F71" i="2"/>
  <c r="F60" i="2"/>
  <c r="F69" i="2"/>
  <c r="H59" i="2"/>
  <c r="D70" i="2" s="1"/>
  <c r="H60" i="2" l="1"/>
  <c r="F70" i="2"/>
  <c r="F72" i="2" s="1"/>
  <c r="D72" i="2"/>
  <c r="E95" i="3"/>
  <c r="B58" i="2" l="1"/>
  <c r="B57" i="2"/>
  <c r="B56" i="2"/>
  <c r="B55" i="2"/>
  <c r="B54" i="2"/>
  <c r="B53" i="2"/>
  <c r="B52" i="2"/>
  <c r="G31" i="6" l="1"/>
  <c r="G30" i="6"/>
  <c r="G29" i="6"/>
  <c r="G51" i="6" l="1"/>
</calcChain>
</file>

<file path=xl/sharedStrings.xml><?xml version="1.0" encoding="utf-8"?>
<sst xmlns="http://schemas.openxmlformats.org/spreadsheetml/2006/main" count="708" uniqueCount="305">
  <si>
    <t>Summe</t>
  </si>
  <si>
    <t>Schritt 1 bis Schritt 3 (siehe unten) zeigen eine Möglichkeit zur Berechnung der GHG-Emissionen aus der Mitarbeitendenmobilität.</t>
  </si>
  <si>
    <t>Sie können aber auch direkt mit Schritt 3 anfangen, indem Sie die Entfernung nach verschiedenen Verkehrsmitteln in die gelb markierten Bereiche der Tabelle zu Schritt 3 eingeben.</t>
  </si>
  <si>
    <t>Entfernung Wohnort</t>
  </si>
  <si>
    <t>Mitarbeitendenmobilität</t>
  </si>
  <si>
    <t xml:space="preserve">Angenomme Entfernung 
(One-way) </t>
  </si>
  <si>
    <t>Zufußgehen %</t>
  </si>
  <si>
    <t>Fahrrad %</t>
  </si>
  <si>
    <t>E-Bike %</t>
  </si>
  <si>
    <t>ÖPNV %</t>
  </si>
  <si>
    <t>Weniger als 5 km</t>
  </si>
  <si>
    <t>5 - 9 Kilometer</t>
  </si>
  <si>
    <t>10 - 19 Kilometer</t>
  </si>
  <si>
    <t>20 - 29 Kilometer</t>
  </si>
  <si>
    <t>30 - 39 Kilometer</t>
  </si>
  <si>
    <t>40 - 49 Kilometer</t>
  </si>
  <si>
    <t>Mehr als 50 Kilometer</t>
  </si>
  <si>
    <t>Arbeitstage im Jahr</t>
  </si>
  <si>
    <t>Gewichtete Arbeitstage im Jahr</t>
  </si>
  <si>
    <t>Zufußgehen (km)</t>
  </si>
  <si>
    <t>Fahrad (km)</t>
  </si>
  <si>
    <t>E-Bike (km)</t>
  </si>
  <si>
    <t>ÖPNV (km)</t>
  </si>
  <si>
    <t>Anteil</t>
  </si>
  <si>
    <t>Hinweis:   </t>
  </si>
  <si>
    <t>Falls Sie die Daten anhand von Schritt 1 und Schritt 2 ermittelt haben, wurden die Daten für E-Bikes, Pkw, und ÖPNV automatisch in folgende Tabelle übernommen.</t>
  </si>
  <si>
    <t>E-Bike</t>
  </si>
  <si>
    <t>Pkw</t>
  </si>
  <si>
    <t>ÖPNV, allgemein</t>
  </si>
  <si>
    <t>Summe (Mitarbeitendenmobilität)</t>
  </si>
  <si>
    <t>Helikopter</t>
  </si>
  <si>
    <t>PKW</t>
  </si>
  <si>
    <t>Verkehrsmittel</t>
  </si>
  <si>
    <t>Quelle</t>
  </si>
  <si>
    <t>Afrika</t>
  </si>
  <si>
    <t>Amerika</t>
  </si>
  <si>
    <t>Asien</t>
  </si>
  <si>
    <t>Europa</t>
  </si>
  <si>
    <t>Ozeanien</t>
  </si>
  <si>
    <t>Postleitzahlbereich</t>
  </si>
  <si>
    <t>Gebiet 0</t>
  </si>
  <si>
    <t>Gebiet 1</t>
  </si>
  <si>
    <t>Gebiet 2</t>
  </si>
  <si>
    <t>Gebiet 3</t>
  </si>
  <si>
    <t>Gebiet 4</t>
  </si>
  <si>
    <t>Gebiet 5</t>
  </si>
  <si>
    <t>Gebiet 6</t>
  </si>
  <si>
    <t>Gebiet 7</t>
  </si>
  <si>
    <t>Gebiet 8</t>
  </si>
  <si>
    <t>Gebiet 9</t>
  </si>
  <si>
    <t>Flugreisen</t>
  </si>
  <si>
    <t>Hin- &amp; Rückfahrt (km / Jahr)</t>
  </si>
  <si>
    <t>Summe (Flugreisen)</t>
  </si>
  <si>
    <t>Landreisen</t>
  </si>
  <si>
    <t>Bahnreisen, Nahverkehr</t>
  </si>
  <si>
    <t>Bahnreisen, Fernverkehr</t>
  </si>
  <si>
    <t>Argentinien</t>
  </si>
  <si>
    <t>Armenien</t>
  </si>
  <si>
    <t>Australien</t>
  </si>
  <si>
    <t>Bangladesch</t>
  </si>
  <si>
    <t>Belgien</t>
  </si>
  <si>
    <t>Brasilien</t>
  </si>
  <si>
    <t>China</t>
  </si>
  <si>
    <t>Costa Rica</t>
  </si>
  <si>
    <t>Dänemark</t>
  </si>
  <si>
    <t>Deutschland</t>
  </si>
  <si>
    <t>Finnland</t>
  </si>
  <si>
    <t>Frankreich</t>
  </si>
  <si>
    <t>Griechenland</t>
  </si>
  <si>
    <t>Indien</t>
  </si>
  <si>
    <t>Irland</t>
  </si>
  <si>
    <t>Israel</t>
  </si>
  <si>
    <t>Italien</t>
  </si>
  <si>
    <t>Japan</t>
  </si>
  <si>
    <t>Kanada</t>
  </si>
  <si>
    <t>Kirgisistan</t>
  </si>
  <si>
    <t>Kolumbien</t>
  </si>
  <si>
    <t>Lettland</t>
  </si>
  <si>
    <t>Luxemburg</t>
  </si>
  <si>
    <t>Malawi</t>
  </si>
  <si>
    <t>Malaysia</t>
  </si>
  <si>
    <t>Myanmar</t>
  </si>
  <si>
    <t>Namibia</t>
  </si>
  <si>
    <t>Neuseeland</t>
  </si>
  <si>
    <t>Niederlande</t>
  </si>
  <si>
    <t>Norwegen</t>
  </si>
  <si>
    <t>Österreich</t>
  </si>
  <si>
    <t>Peru</t>
  </si>
  <si>
    <t>Polen</t>
  </si>
  <si>
    <t>Portugal</t>
  </si>
  <si>
    <t>Republik Korea</t>
  </si>
  <si>
    <t>Rumänien</t>
  </si>
  <si>
    <t>Russische Föderation</t>
  </si>
  <si>
    <t>Schweden</t>
  </si>
  <si>
    <t>Schweiz</t>
  </si>
  <si>
    <t>Serbien</t>
  </si>
  <si>
    <t>Singapur</t>
  </si>
  <si>
    <t>Slowakei</t>
  </si>
  <si>
    <t>Slowenien</t>
  </si>
  <si>
    <t>Spanien</t>
  </si>
  <si>
    <t>Südafrika</t>
  </si>
  <si>
    <t>Taiwan</t>
  </si>
  <si>
    <t>Thailand</t>
  </si>
  <si>
    <t>Tschechien</t>
  </si>
  <si>
    <t>Türkei</t>
  </si>
  <si>
    <t>Ungarn</t>
  </si>
  <si>
    <t>Vereinigte Arabische Emirate</t>
  </si>
  <si>
    <t>USA</t>
  </si>
  <si>
    <t>Vereinigtes Königreich</t>
  </si>
  <si>
    <t>Pkw (außerhalb des eigenen Fuhrparks)</t>
  </si>
  <si>
    <t>Anzahl der Übernachtungen</t>
  </si>
  <si>
    <t xml:space="preserve">Es wird eine beschränkte Auswahl von Ländern dargestellt. </t>
  </si>
  <si>
    <t>Aufteilung in (%) der Mitarbeiter*innen</t>
  </si>
  <si>
    <t>Pkw %</t>
  </si>
  <si>
    <t>Pkw (km)</t>
  </si>
  <si>
    <t>Übernachtungen</t>
  </si>
  <si>
    <t xml:space="preserve">Anzahl der Mitarbeitenden: </t>
  </si>
  <si>
    <t>Geleistete Arbeitstage pro Jahr</t>
  </si>
  <si>
    <t>PLZ-Bereich</t>
  </si>
  <si>
    <t>Anteil der Mitarbeiter*innen</t>
  </si>
  <si>
    <t>CAFOGES-KliOL (Mai 2023)</t>
  </si>
  <si>
    <t>Hier Daten eingeben:</t>
  </si>
  <si>
    <t>Ergebnisdarstellung</t>
  </si>
  <si>
    <t>Desfluran</t>
  </si>
  <si>
    <t>↓</t>
  </si>
  <si>
    <t>Isofluran</t>
  </si>
  <si>
    <t>Sevofluran</t>
  </si>
  <si>
    <t>Flurane</t>
  </si>
  <si>
    <t>Gebindeinformationen</t>
  </si>
  <si>
    <t>Volumen</t>
  </si>
  <si>
    <t>Produktbezeichnung</t>
  </si>
  <si>
    <t>Verbrauch am Klinikum</t>
  </si>
  <si>
    <t>Anzahl (bitte eingeben)</t>
  </si>
  <si>
    <t>Insgesamt (kg)</t>
  </si>
  <si>
    <t>Lachgas</t>
  </si>
  <si>
    <r>
      <t xml:space="preserve">Volumen </t>
    </r>
    <r>
      <rPr>
        <b/>
        <sz val="10"/>
        <color theme="0"/>
        <rFont val="Arial"/>
        <family val="2"/>
      </rPr>
      <t>(l)</t>
    </r>
  </si>
  <si>
    <r>
      <t xml:space="preserve">mass N2O </t>
    </r>
    <r>
      <rPr>
        <b/>
        <sz val="10"/>
        <color theme="0"/>
        <rFont val="Arial"/>
        <family val="2"/>
      </rPr>
      <t>(kg)</t>
    </r>
    <r>
      <rPr>
        <sz val="10"/>
        <color theme="0"/>
        <rFont val="Arial"/>
        <family val="2"/>
      </rPr>
      <t xml:space="preserve"> 
per bottle</t>
    </r>
  </si>
  <si>
    <t>Insgesamt (kg N2O)</t>
  </si>
  <si>
    <t>LIVOPAN® 50 % / 50 % (Linde)</t>
  </si>
  <si>
    <t>NIONTIX® 100% (Linde)</t>
  </si>
  <si>
    <t>Distickstoffmonoxid Messer 100%</t>
  </si>
  <si>
    <t>12x50</t>
  </si>
  <si>
    <t>N2O Stickoxydul med. (SW-Steinfurt)</t>
  </si>
  <si>
    <t>N2O-medica (SW-Friedrichshafen)</t>
  </si>
  <si>
    <t>Summe:</t>
  </si>
  <si>
    <t xml:space="preserve"> Lachgas (N2O, Distickstoffmonoxid)</t>
  </si>
  <si>
    <t>=&gt; Mengen Flurane (kg) separat in Ecocockpit eingeben</t>
  </si>
  <si>
    <t>=&gt; Summe (kg) in Ecocockpit eingeben</t>
  </si>
  <si>
    <t>Farbcode für Anästhesie-Gase:</t>
  </si>
  <si>
    <t>Alternativ können Sie die Daten auch anhand Ihrer eigenen Ermittlungsmethode direkt in die hellgrün markierten Bereiche eintragen.</t>
  </si>
  <si>
    <t>Posten</t>
  </si>
  <si>
    <t>-</t>
  </si>
  <si>
    <r>
      <t xml:space="preserve">Das Register </t>
    </r>
    <r>
      <rPr>
        <b/>
        <sz val="10"/>
        <rFont val="Arial"/>
        <family val="2"/>
      </rPr>
      <t>Anästhesie-Gase</t>
    </r>
    <r>
      <rPr>
        <sz val="10"/>
        <rFont val="Arial"/>
        <family val="2"/>
      </rPr>
      <t xml:space="preserve"> ist folgendermaßen zu verwenden:
</t>
    </r>
    <r>
      <rPr>
        <b/>
        <sz val="10"/>
        <rFont val="Arial"/>
        <family val="2"/>
      </rPr>
      <t>Geben Sie Ihre Daten entsprechend der Farbcodes und Gebindegrößen ein. Das Endergebnis übertragen Sie anschließend wieder in EcoCockpit.</t>
    </r>
  </si>
  <si>
    <t>km</t>
  </si>
  <si>
    <t>Verbrauchsberechnung</t>
  </si>
  <si>
    <t>Flaschen (Anzahl)</t>
  </si>
  <si>
    <t>Masse (g) pro Flasche</t>
  </si>
  <si>
    <t>Dichte [g/ml], Vollmer et al.</t>
  </si>
  <si>
    <t>Ergebnis</t>
  </si>
  <si>
    <t>Ergebnis:</t>
  </si>
  <si>
    <t>Anzahl Flüge</t>
  </si>
  <si>
    <t>Annahme Entfernung 
(km / Jahr)</t>
  </si>
  <si>
    <r>
      <t xml:space="preserve">Das Register </t>
    </r>
    <r>
      <rPr>
        <b/>
        <sz val="10"/>
        <color theme="1"/>
        <rFont val="Arial"/>
        <family val="2"/>
      </rPr>
      <t>Geschäftsreisen</t>
    </r>
    <r>
      <rPr>
        <sz val="10"/>
        <color theme="1"/>
        <rFont val="Arial"/>
        <family val="2"/>
      </rPr>
      <t xml:space="preserve"> ist folgendermaßen zu verwenden:</t>
    </r>
  </si>
  <si>
    <t>Distanz FRA --&gt; USA ca. 8.000 km</t>
  </si>
  <si>
    <t>Distanz FRA --&gt; Südafrika ca. 14.000 km</t>
  </si>
  <si>
    <t>Distanz FRA --&gt; Irland ca. 1.500 km</t>
  </si>
  <si>
    <t>Distanz München --&gt; Hamburg ca. 800 km</t>
  </si>
  <si>
    <t>Distanz FRA --&gt; China ca. 10.000 km</t>
  </si>
  <si>
    <t>Annahmen zu Entfernungen</t>
  </si>
  <si>
    <t>Distanz FRA --&gt; Sydney ca. 17.000 km</t>
  </si>
  <si>
    <t>Montenegro</t>
  </si>
  <si>
    <t>Vereinigte Staaten</t>
  </si>
  <si>
    <t>Land</t>
  </si>
  <si>
    <t>Internationale Flüge</t>
  </si>
  <si>
    <t>Nationale Flüge</t>
  </si>
  <si>
    <t>Zielland</t>
  </si>
  <si>
    <t>Anzahl</t>
  </si>
  <si>
    <t>Kroatien</t>
  </si>
  <si>
    <t>Region (Zuordnung)</t>
  </si>
  <si>
    <t>CAFOGES</t>
  </si>
  <si>
    <t>Anzahl Reisen</t>
  </si>
  <si>
    <t>Typ</t>
  </si>
  <si>
    <t>Nahverkehr</t>
  </si>
  <si>
    <t>Fernverkehr</t>
  </si>
  <si>
    <t>Privat-PWK</t>
  </si>
  <si>
    <t>Gefahrene Kilometer</t>
  </si>
  <si>
    <t>Summe (Privat-PWK)</t>
  </si>
  <si>
    <t>Summe (Bahnreisen)</t>
  </si>
  <si>
    <t>Bahnreisen</t>
  </si>
  <si>
    <t>Einheit</t>
  </si>
  <si>
    <t>Flüge</t>
  </si>
  <si>
    <t>Summe Dienstreisen (zur Eingabe bei ecocockpit)</t>
  </si>
  <si>
    <t>Beschreibung</t>
  </si>
  <si>
    <t>(Sonstige)</t>
  </si>
  <si>
    <t>Bei Bedarf Summe der Flüge eingeben</t>
  </si>
  <si>
    <t>--</t>
  </si>
  <si>
    <t>---</t>
  </si>
  <si>
    <t>Quelle: CAFOGES</t>
  </si>
  <si>
    <t>Hinweis zur Eingabe in ecocockpit</t>
  </si>
  <si>
    <r>
      <t xml:space="preserve">Das Register </t>
    </r>
    <r>
      <rPr>
        <b/>
        <sz val="10"/>
        <color theme="1"/>
        <rFont val="Arial"/>
        <family val="2"/>
      </rPr>
      <t>Mobilität Mitarbeitende</t>
    </r>
    <r>
      <rPr>
        <sz val="10"/>
        <color theme="1"/>
        <rFont val="Arial"/>
        <family val="2"/>
      </rPr>
      <t xml:space="preserve"> ist folgendermaßen zu verwenden:</t>
    </r>
  </si>
  <si>
    <t>Arbeitstage/Woche</t>
  </si>
  <si>
    <t>&lt;5 Tage/Woche</t>
  </si>
  <si>
    <t>=5 Tage/Woche</t>
  </si>
  <si>
    <t>Vorlagenformat</t>
  </si>
  <si>
    <t>Beispiel: (ggf. bei Möglichkeit für Ihr Klinikum anpassen)</t>
  </si>
  <si>
    <r>
      <t xml:space="preserve">Hier eignet sich eine </t>
    </r>
    <r>
      <rPr>
        <b/>
        <sz val="10"/>
        <color theme="1"/>
        <rFont val="Arial"/>
        <family val="2"/>
      </rPr>
      <t>Berechnung anhand der PLZ</t>
    </r>
    <r>
      <rPr>
        <sz val="10"/>
        <color theme="1"/>
        <rFont val="Arial"/>
        <family val="2"/>
      </rPr>
      <t xml:space="preserve"> (in der Personalabteilungen hiterlegter Wohnort), mittels Mitarbeitendenbefragung oder alternativ Schätzung.</t>
    </r>
  </si>
  <si>
    <r>
      <t xml:space="preserve">Angegeben wird die </t>
    </r>
    <r>
      <rPr>
        <b/>
        <sz val="10"/>
        <color theme="1"/>
        <rFont val="Arial"/>
        <family val="2"/>
      </rPr>
      <t>durchschnittliche Entfernung zum Arbeitsplatz</t>
    </r>
    <r>
      <rPr>
        <sz val="10"/>
        <color theme="1"/>
        <rFont val="Arial"/>
        <family val="2"/>
      </rPr>
      <t xml:space="preserve"> innerhalb der Gruppe und die Aufteilung in die verschiedenen Verkehrsmittel.</t>
    </r>
  </si>
  <si>
    <t>Nutzung Verkehrsmittel</t>
  </si>
  <si>
    <t>Aufteilung nach Entfernung zum Arbeitsplatz</t>
  </si>
  <si>
    <t>Mobilität Patient*innen</t>
  </si>
  <si>
    <r>
      <t xml:space="preserve">Das Register </t>
    </r>
    <r>
      <rPr>
        <b/>
        <sz val="10"/>
        <color theme="1"/>
        <rFont val="Arial"/>
        <family val="2"/>
      </rPr>
      <t>Mobilität Patient*innen</t>
    </r>
    <r>
      <rPr>
        <sz val="10"/>
        <color theme="1"/>
        <rFont val="Arial"/>
        <family val="2"/>
      </rPr>
      <t xml:space="preserve"> ist folgendermaßen zu verwenden:</t>
    </r>
  </si>
  <si>
    <t>=&gt; hier sollten 100% stehen!</t>
  </si>
  <si>
    <t>Anzahl (Notfallpatienten)</t>
  </si>
  <si>
    <t>Summe (bodengebundene Notfallkontakte)</t>
  </si>
  <si>
    <t>Modellierung auf Basis CAFOGES</t>
  </si>
  <si>
    <t>Flugzeugtyp</t>
  </si>
  <si>
    <t>Erläuterung Flugzeugtyp</t>
  </si>
  <si>
    <t>Annahmen zu Entfernungen und Verbräuchen</t>
  </si>
  <si>
    <t>PLZ-Bereich: Zentrale Stadt</t>
  </si>
  <si>
    <t>Dresden</t>
  </si>
  <si>
    <t>Berlin</t>
  </si>
  <si>
    <t>Hamburg</t>
  </si>
  <si>
    <t>Göttingen</t>
  </si>
  <si>
    <t>Essen</t>
  </si>
  <si>
    <t>Bonn</t>
  </si>
  <si>
    <t>Mannheim</t>
  </si>
  <si>
    <t>Stuttgart</t>
  </si>
  <si>
    <t>München</t>
  </si>
  <si>
    <t>Nürnberg</t>
  </si>
  <si>
    <t>Auwahl PLZ Ihres Klinikums</t>
  </si>
  <si>
    <t>Herkundskontinent</t>
  </si>
  <si>
    <r>
      <rPr>
        <b/>
        <sz val="10"/>
        <rFont val="Arial"/>
        <family val="2"/>
      </rPr>
      <t>ml/bottle</t>
    </r>
    <r>
      <rPr>
        <sz val="10"/>
        <color theme="1"/>
        <rFont val="Arial"/>
        <family val="2"/>
      </rPr>
      <t xml:space="preserve"> DESFLURAN</t>
    </r>
  </si>
  <si>
    <r>
      <rPr>
        <b/>
        <sz val="10"/>
        <rFont val="Arial"/>
        <family val="2"/>
      </rPr>
      <t>ml/bottle</t>
    </r>
    <r>
      <rPr>
        <sz val="10"/>
        <color theme="1"/>
        <rFont val="Arial"/>
        <family val="2"/>
      </rPr>
      <t xml:space="preserve"> ISOFLURAN</t>
    </r>
  </si>
  <si>
    <r>
      <rPr>
        <b/>
        <sz val="10"/>
        <rFont val="Arial"/>
        <family val="2"/>
      </rPr>
      <t>ml/bottle</t>
    </r>
    <r>
      <rPr>
        <sz val="10"/>
        <color theme="1"/>
        <rFont val="Arial"/>
        <family val="2"/>
      </rPr>
      <t xml:space="preserve"> SEVOFLURAN</t>
    </r>
  </si>
  <si>
    <t>Verkehrmittel</t>
  </si>
  <si>
    <t>Auswahl PLZ-Gebiet Klinik</t>
  </si>
  <si>
    <r>
      <t xml:space="preserve">(z.B. </t>
    </r>
    <r>
      <rPr>
        <b/>
        <sz val="10"/>
        <color theme="1"/>
        <rFont val="Arial"/>
        <family val="2"/>
      </rPr>
      <t>Gebiet 7</t>
    </r>
    <r>
      <rPr>
        <sz val="10"/>
        <color theme="1"/>
        <rFont val="Arial"/>
        <family val="2"/>
      </rPr>
      <t xml:space="preserve"> für eine Klinik in 79110 Freiburg)</t>
    </r>
  </si>
  <si>
    <t>Anteil [%]</t>
  </si>
  <si>
    <t>Distanzen Regelkontakte [km]</t>
  </si>
  <si>
    <t>Angenommene Entfernung 
One-way [km]</t>
  </si>
  <si>
    <t>Anzahl Patienten
(Regelkontakte)</t>
  </si>
  <si>
    <t>Annahme Entfernung One-Way [km]</t>
  </si>
  <si>
    <t>z.B. EC135, EC145 (DRF, REGA, …)</t>
  </si>
  <si>
    <t>Land (Wohnsitz)</t>
  </si>
  <si>
    <t>Zusatzinfo</t>
  </si>
  <si>
    <t>Passwort zum Aufheben des Schreibschutz: klug</t>
  </si>
  <si>
    <t>Bereich</t>
  </si>
  <si>
    <t>Notfallkontakte</t>
  </si>
  <si>
    <t>Luftgebunden</t>
  </si>
  <si>
    <t>Regelkontakte</t>
  </si>
  <si>
    <t>Inland</t>
  </si>
  <si>
    <t>Ausland</t>
  </si>
  <si>
    <t>----</t>
  </si>
  <si>
    <r>
      <t xml:space="preserve">Passwort zum Aufheben des Schreibschutz: </t>
    </r>
    <r>
      <rPr>
        <sz val="10"/>
        <rFont val="Arial"/>
        <family val="2"/>
      </rPr>
      <t>klug</t>
    </r>
  </si>
  <si>
    <r>
      <t xml:space="preserve">Schritt 4: </t>
    </r>
    <r>
      <rPr>
        <sz val="10"/>
        <rFont val="Arial"/>
        <family val="2"/>
      </rPr>
      <t>Geben Sie in der entsprechenden Spalte die Anzahl der</t>
    </r>
    <r>
      <rPr>
        <b/>
        <sz val="10"/>
        <rFont val="Arial"/>
        <family val="2"/>
      </rPr>
      <t xml:space="preserve"> gefahrenen Kilometer mit Privat-PWK ein (außerhalb des Klinikfuhrparks)</t>
    </r>
  </si>
  <si>
    <r>
      <t xml:space="preserve">Schritt 3: </t>
    </r>
    <r>
      <rPr>
        <sz val="10"/>
        <rFont val="Arial"/>
        <family val="2"/>
      </rPr>
      <t>Geben Sie in der entsprechenden Spalte die</t>
    </r>
    <r>
      <rPr>
        <b/>
        <sz val="10"/>
        <rFont val="Arial"/>
        <family val="2"/>
      </rPr>
      <t xml:space="preserve"> Anzahl der Bahnreisen ein</t>
    </r>
  </si>
  <si>
    <r>
      <rPr>
        <b/>
        <sz val="10"/>
        <rFont val="Arial"/>
        <family val="2"/>
      </rPr>
      <t xml:space="preserve">Schritt 1: </t>
    </r>
    <r>
      <rPr>
        <sz val="10"/>
        <rFont val="Arial"/>
        <family val="2"/>
      </rPr>
      <t xml:space="preserve">Geben Sie in der entsprechenden Spalte die </t>
    </r>
    <r>
      <rPr>
        <b/>
        <sz val="10"/>
        <rFont val="Arial"/>
        <family val="2"/>
      </rPr>
      <t>Anzahl der Flüge in das Zielland</t>
    </r>
    <r>
      <rPr>
        <sz val="10"/>
        <rFont val="Arial"/>
        <family val="2"/>
      </rPr>
      <t xml:space="preserve"> ein</t>
    </r>
  </si>
  <si>
    <t>Geschäftsreisen (Teilaspekt 1 - Mobilität)</t>
  </si>
  <si>
    <t>Geschäftsreisen (Teilaspekt 2 - Hotelübernachtung)</t>
  </si>
  <si>
    <t>Teilaspekt 2</t>
  </si>
  <si>
    <t>Teilaspekt 1</t>
  </si>
  <si>
    <t>Privat-PKW</t>
  </si>
  <si>
    <t>Hotelübernachtungen</t>
  </si>
  <si>
    <t>Summe (Hotelübernachtung)</t>
  </si>
  <si>
    <t>Geschäftsreisen - Ergebnisse in ecocockpit übertragen</t>
  </si>
  <si>
    <t>Quellen s. Handbuch</t>
  </si>
  <si>
    <t>Fachinformation</t>
  </si>
  <si>
    <t>Herstellerseite</t>
  </si>
  <si>
    <t>Vertriebseite</t>
  </si>
  <si>
    <r>
      <rPr>
        <b/>
        <sz val="10"/>
        <rFont val="Arial"/>
        <family val="2"/>
      </rPr>
      <t>Schritt 1:</t>
    </r>
    <r>
      <rPr>
        <sz val="10"/>
        <rFont val="Arial"/>
        <family val="2"/>
      </rPr>
      <t xml:space="preserve"> Geben Sie hier die Daten zu </t>
    </r>
    <r>
      <rPr>
        <b/>
        <sz val="10"/>
        <rFont val="Arial"/>
        <family val="2"/>
      </rPr>
      <t>luftgebundenen Patientenkontakten</t>
    </r>
    <r>
      <rPr>
        <sz val="10"/>
        <rFont val="Arial"/>
        <family val="2"/>
      </rPr>
      <t xml:space="preserve"> ein (via </t>
    </r>
    <r>
      <rPr>
        <b/>
        <sz val="10"/>
        <rFont val="Arial"/>
        <family val="2"/>
      </rPr>
      <t>Flugbuch</t>
    </r>
    <r>
      <rPr>
        <sz val="10"/>
        <rFont val="Arial"/>
        <family val="2"/>
      </rPr>
      <t xml:space="preserve"> Ihres Helikopterlandeplatz)</t>
    </r>
  </si>
  <si>
    <r>
      <rPr>
        <b/>
        <sz val="10"/>
        <rFont val="Arial"/>
        <family val="2"/>
      </rPr>
      <t>Schritt 2:</t>
    </r>
    <r>
      <rPr>
        <sz val="10"/>
        <rFont val="Arial"/>
        <family val="2"/>
      </rPr>
      <t xml:space="preserve"> Geben Sie hier die Daten zu </t>
    </r>
    <r>
      <rPr>
        <b/>
        <sz val="10"/>
        <rFont val="Arial"/>
        <family val="2"/>
      </rPr>
      <t>Regelkontakten von Patient*innen mit Wohnsitz in Deutschland</t>
    </r>
    <r>
      <rPr>
        <sz val="10"/>
        <rFont val="Arial"/>
        <family val="2"/>
      </rPr>
      <t xml:space="preserve"> ein</t>
    </r>
  </si>
  <si>
    <r>
      <rPr>
        <b/>
        <sz val="10"/>
        <rFont val="Arial"/>
        <family val="2"/>
      </rPr>
      <t>Schritt 3:</t>
    </r>
    <r>
      <rPr>
        <sz val="10"/>
        <rFont val="Arial"/>
        <family val="2"/>
      </rPr>
      <t xml:space="preserve"> Geben Sie hier die Daten zu </t>
    </r>
    <r>
      <rPr>
        <b/>
        <sz val="10"/>
        <rFont val="Arial"/>
        <family val="2"/>
      </rPr>
      <t>Regelkontakten von Patient*innen mit Wohnsitz außerhalb Deutschlands</t>
    </r>
    <r>
      <rPr>
        <sz val="10"/>
        <rFont val="Arial"/>
        <family val="2"/>
      </rPr>
      <t xml:space="preserve"> ein</t>
    </r>
  </si>
  <si>
    <t>Fachinformation und Berechnungen des Herstellers</t>
  </si>
  <si>
    <t>Hinweis</t>
  </si>
  <si>
    <r>
      <t>Ergebnis 
(kg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 / Jahr)</t>
    </r>
  </si>
  <si>
    <r>
      <t>=&gt; Ergebnis (kg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e) in Ecocockpit (Karte XY Feld XX) eingeben</t>
    </r>
  </si>
  <si>
    <r>
      <t>Ergebnis 
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 / Jahr]</t>
    </r>
  </si>
  <si>
    <r>
      <t>Emissionsfaktor 
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 / Pkm]</t>
    </r>
  </si>
  <si>
    <t>THG-Emissionen durch Patient*innen-Mobilität (gesamt)</t>
  </si>
  <si>
    <r>
      <rPr>
        <b/>
        <sz val="10"/>
        <rFont val="Arial"/>
        <family val="2"/>
      </rPr>
      <t>Schritt 4:</t>
    </r>
    <r>
      <rPr>
        <sz val="10"/>
        <rFont val="Arial"/>
        <family val="2"/>
      </rPr>
      <t xml:space="preserve"> Übertragen Sie die Ergebnisse (THG</t>
    </r>
    <r>
      <rPr>
        <b/>
        <sz val="10"/>
        <rFont val="Arial"/>
        <family val="2"/>
      </rPr>
      <t>-Emissionen</t>
    </r>
    <r>
      <rPr>
        <sz val="10"/>
        <rFont val="Arial"/>
        <family val="2"/>
      </rPr>
      <t xml:space="preserve"> durch </t>
    </r>
    <r>
      <rPr>
        <b/>
        <sz val="10"/>
        <rFont val="Arial"/>
        <family val="2"/>
      </rPr>
      <t>Patient*innen-Mobilität</t>
    </r>
    <r>
      <rPr>
        <sz val="10"/>
        <rFont val="Arial"/>
        <family val="2"/>
      </rPr>
      <t>) in ecocockpit</t>
    </r>
  </si>
  <si>
    <t>Berechnungen der THG-Emissionen durch Flüge von Patient*innen mit Wohnsitz außerhalb Deutschlands</t>
  </si>
  <si>
    <r>
      <t>=&gt; Ergebnis (kg CO</t>
    </r>
    <r>
      <rPr>
        <b/>
        <vertAlign val="sub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e) in Ecocockpit (Karte XY Feld XX) eingeben</t>
    </r>
  </si>
  <si>
    <t>Berechnung der THG-Emissionen zu Regelkontakten von Patient*innen mit Wohnstiz in Deutschland</t>
  </si>
  <si>
    <r>
      <t>Emissionsfaktor PKW
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 / km]</t>
    </r>
  </si>
  <si>
    <r>
      <t xml:space="preserve">Schritt 4: </t>
    </r>
    <r>
      <rPr>
        <sz val="10"/>
        <color theme="1"/>
        <rFont val="Arial"/>
        <family val="2"/>
      </rPr>
      <t>Berechnung der THG-Emissionen</t>
    </r>
  </si>
  <si>
    <t>Gesamte Entfernung 
(Hin-&amp; Zurück): Pkm / Jahr</t>
  </si>
  <si>
    <r>
      <t>Emissionsfaktor 
(kg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 / Pkm )</t>
    </r>
  </si>
  <si>
    <t>Pkm / Jahr</t>
  </si>
  <si>
    <r>
      <rPr>
        <b/>
        <sz val="10"/>
        <color theme="1"/>
        <rFont val="Arial"/>
        <family val="2"/>
      </rPr>
      <t>Schritt 3:</t>
    </r>
    <r>
      <rPr>
        <sz val="10"/>
        <color theme="1"/>
        <rFont val="Arial"/>
        <family val="2"/>
      </rPr>
      <t xml:space="preserve"> Automatische Berechnung der Personen-km (Pkm) pro Jahr nach Verkehrsmittel.</t>
    </r>
  </si>
  <si>
    <t>CAFOGES-KliOL (August 2023)</t>
  </si>
  <si>
    <r>
      <rPr>
        <b/>
        <sz val="10"/>
        <rFont val="Arial"/>
        <family val="2"/>
      </rPr>
      <t>Schritt 6:</t>
    </r>
    <r>
      <rPr>
        <sz val="10"/>
        <rFont val="Arial"/>
        <family val="2"/>
      </rPr>
      <t xml:space="preserve"> Übertragen Sie die Ergebnisse (THG</t>
    </r>
    <r>
      <rPr>
        <b/>
        <sz val="10"/>
        <rFont val="Arial"/>
        <family val="2"/>
      </rPr>
      <t>-Emissionen</t>
    </r>
    <r>
      <rPr>
        <sz val="10"/>
        <rFont val="Arial"/>
        <family val="2"/>
      </rPr>
      <t xml:space="preserve"> durch </t>
    </r>
    <r>
      <rPr>
        <b/>
        <sz val="10"/>
        <rFont val="Arial"/>
        <family val="2"/>
      </rPr>
      <t>Geschäftsreisen</t>
    </r>
    <r>
      <rPr>
        <sz val="10"/>
        <rFont val="Arial"/>
        <family val="2"/>
      </rPr>
      <t>) in ecocockpit</t>
    </r>
  </si>
  <si>
    <t>THG-Emissionen durch Geschäftsreisen (gesamt)</t>
  </si>
  <si>
    <r>
      <t>Emissionsfaktor 
(kg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 / Nacht)</t>
    </r>
  </si>
  <si>
    <r>
      <t xml:space="preserve">Schritt 5: </t>
    </r>
    <r>
      <rPr>
        <sz val="10"/>
        <rFont val="Arial"/>
        <family val="2"/>
      </rPr>
      <t>Geben Sie in der entsprechenden Spalte in die Anzahl der</t>
    </r>
    <r>
      <rPr>
        <b/>
        <sz val="10"/>
        <rFont val="Arial"/>
        <family val="2"/>
      </rPr>
      <t xml:space="preserve"> Hotelübernachtungen im jeweiligen Land </t>
    </r>
    <r>
      <rPr>
        <sz val="10"/>
        <rFont val="Arial"/>
        <family val="2"/>
      </rPr>
      <t>ein</t>
    </r>
    <r>
      <rPr>
        <b/>
        <sz val="10"/>
        <rFont val="Arial"/>
        <family val="2"/>
      </rPr>
      <t xml:space="preserve"> </t>
    </r>
  </si>
  <si>
    <r>
      <t>Emissionsfaktor 
(kg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 xml:space="preserve">e / Pkm) </t>
    </r>
  </si>
  <si>
    <r>
      <t xml:space="preserve">Schritt 2: </t>
    </r>
    <r>
      <rPr>
        <sz val="10"/>
        <rFont val="Arial"/>
        <family val="2"/>
      </rPr>
      <t>Die Rechnung zu Distanzen und THG-Emissionen erfolgt automatisiert</t>
    </r>
  </si>
  <si>
    <r>
      <rPr>
        <b/>
        <sz val="10"/>
        <rFont val="Arial"/>
        <family val="2"/>
      </rPr>
      <t>Zwischenergebnis:</t>
    </r>
    <r>
      <rPr>
        <sz val="10"/>
        <rFont val="Arial"/>
        <family val="2"/>
      </rPr>
      <t xml:space="preserve"> THG-Emissionen durch Dienstreisen (Teilaspekt 1 - </t>
    </r>
    <r>
      <rPr>
        <b/>
        <sz val="10"/>
        <rFont val="Arial"/>
        <family val="2"/>
      </rPr>
      <t>Mobilität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</si>
  <si>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 xml:space="preserve">Schritt 1: </t>
    </r>
    <r>
      <rPr>
        <sz val="10"/>
        <rFont val="Arial"/>
        <family val="2"/>
      </rPr>
      <t>Geben Sie die Anzahl der Mitarbeiter*innen und den Beschäftigungsgrad (5 Tage/Woche oder &lt;5 Tage/Woche) ein</t>
    </r>
  </si>
  <si>
    <r>
      <rPr>
        <b/>
        <sz val="10"/>
        <rFont val="Arial"/>
        <family val="2"/>
      </rPr>
      <t xml:space="preserve">Schritt 2: </t>
    </r>
    <r>
      <rPr>
        <sz val="10"/>
        <rFont val="Arial"/>
        <family val="2"/>
      </rPr>
      <t>Die Mitarbeiter*innen werden je nach Distanz zwischen Wohnort und Arbeitsplatz in 7 Cluster eingeteilt</t>
    </r>
  </si>
  <si>
    <r>
      <t xml:space="preserve">In den hellgrün hinterlegten Felder sind Standardwerte zum Mobilitätsverhalten der Mitarbeitenden je nach Entfernung zum Klinikum eingespeichert (basierend auf Mobilitätsstudie am Universitätsklinikum Freiburg, 2022).
Wenn Sie </t>
    </r>
    <r>
      <rPr>
        <b/>
        <sz val="10"/>
        <rFont val="Arial"/>
        <family val="2"/>
      </rPr>
      <t>individuelle Daten</t>
    </r>
    <r>
      <rPr>
        <sz val="10"/>
        <rFont val="Arial"/>
        <family val="2"/>
      </rPr>
      <t xml:space="preserve"> haben, z.B. aus einer Mobilitätsstudie, so passen Sie diese bitte in den entsprechenden Zellen </t>
    </r>
    <r>
      <rPr>
        <b/>
        <sz val="10"/>
        <rFont val="Arial"/>
        <family val="2"/>
      </rPr>
      <t>im hellgrün hinterlegten Bereich</t>
    </r>
    <r>
      <rPr>
        <sz val="10"/>
        <rFont val="Arial"/>
        <family val="2"/>
      </rPr>
      <t xml:space="preserve"> an.</t>
    </r>
  </si>
  <si>
    <t>Hin- &amp; Rückflug (km / Jahr)</t>
  </si>
  <si>
    <t>Annahme Mittelwert nationaler Bahnreisen</t>
  </si>
  <si>
    <t>Annahme Mittelwert regionaler Bahnreisen</t>
  </si>
  <si>
    <t>Gesamte Distanz 
[Pkm / Jahr]</t>
  </si>
  <si>
    <t>Gesamtdistanzen Regelkontakte [Pkm]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</si>
</sst>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00"/>
    <numFmt numFmtId="165" formatCode="0.0%"/>
    <numFmt numFmtId="166" formatCode="0\ &quot;km&quot;"/>
    <numFmt numFmtId="167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38B1FD"/>
      <name val="Arial"/>
      <family val="2"/>
    </font>
    <font>
      <sz val="10"/>
      <color rgb="FF9154D8"/>
      <name val="Arial"/>
      <family val="2"/>
    </font>
    <font>
      <sz val="10"/>
      <color rgb="FFF2C446"/>
      <name val="Arial"/>
      <family val="2"/>
    </font>
    <font>
      <sz val="11"/>
      <color theme="1"/>
      <name val="Arial"/>
      <family val="2"/>
    </font>
    <font>
      <b/>
      <u/>
      <sz val="11"/>
      <color rgb="FF0070C0"/>
      <name val="Arial"/>
      <family val="2"/>
    </font>
    <font>
      <b/>
      <vertAlign val="subscript"/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rgb="FF0070C0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59999389629810485"/>
        <bgColor theme="4"/>
      </patternFill>
    </fill>
    <fill>
      <patternFill patternType="lightDown">
        <fgColor theme="1"/>
        <bgColor theme="8" tint="0.59999389629810485"/>
      </patternFill>
    </fill>
    <fill>
      <patternFill patternType="solid">
        <fgColor theme="8" tint="0.59999389629810485"/>
        <bgColor theme="7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4F7C"/>
        <bgColor indexed="64"/>
      </patternFill>
    </fill>
    <fill>
      <patternFill patternType="solid">
        <fgColor rgb="FF38B1FD"/>
        <bgColor indexed="64"/>
      </patternFill>
    </fill>
    <fill>
      <patternFill patternType="solid">
        <fgColor rgb="FF9154D8"/>
        <bgColor indexed="64"/>
      </patternFill>
    </fill>
    <fill>
      <patternFill patternType="solid">
        <fgColor rgb="FFF2C446"/>
        <bgColor indexed="64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3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4" tint="0.39997558519241921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/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medium">
        <color indexed="64"/>
      </left>
      <right style="thin">
        <color theme="4"/>
      </right>
      <top style="medium">
        <color indexed="6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medium">
        <color indexed="64"/>
      </top>
      <bottom style="thin">
        <color theme="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mediumDashed">
        <color auto="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Dashed">
        <color auto="1"/>
      </bottom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mediumDashed">
        <color auto="1"/>
      </bottom>
      <diagonal/>
    </border>
    <border>
      <left style="mediumDashed">
        <color auto="1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Dashed">
        <color auto="1"/>
      </bottom>
      <diagonal/>
    </border>
    <border>
      <left style="mediumDashed">
        <color auto="1"/>
      </left>
      <right/>
      <top style="thin">
        <color theme="8" tint="-0.249977111117893"/>
      </top>
      <bottom style="medium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 style="thin">
        <color theme="8" tint="-0.249977111117893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 tint="-0.249977111117893"/>
      </left>
      <right/>
      <top/>
      <bottom style="mediumDashed">
        <color auto="1"/>
      </bottom>
      <diagonal/>
    </border>
    <border>
      <left/>
      <right style="thin">
        <color theme="8" tint="-0.249977111117893"/>
      </right>
      <top/>
      <bottom/>
      <diagonal/>
    </border>
    <border>
      <left style="thin">
        <color theme="4" tint="0.39997558519241921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/>
      <diagonal/>
    </border>
    <border>
      <left style="thin">
        <color theme="4"/>
      </left>
      <right style="medium">
        <color indexed="6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indexed="64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6">
    <xf numFmtId="0" fontId="0" fillId="0" borderId="0" xfId="0"/>
    <xf numFmtId="0" fontId="2" fillId="7" borderId="14" xfId="0" applyFont="1" applyFill="1" applyBorder="1"/>
    <xf numFmtId="0" fontId="2" fillId="6" borderId="1" xfId="0" applyFont="1" applyFill="1" applyBorder="1" applyAlignment="1">
      <alignment horizontal="center"/>
    </xf>
    <xf numFmtId="3" fontId="2" fillId="7" borderId="14" xfId="0" applyNumberFormat="1" applyFont="1" applyFill="1" applyBorder="1" applyAlignment="1">
      <alignment horizontal="center"/>
    </xf>
    <xf numFmtId="43" fontId="5" fillId="0" borderId="0" xfId="3" applyFont="1" applyBorder="1"/>
    <xf numFmtId="0" fontId="5" fillId="0" borderId="50" xfId="0" applyFont="1" applyBorder="1" applyAlignment="1">
      <alignment horizontal="left" vertical="top"/>
    </xf>
    <xf numFmtId="43" fontId="6" fillId="11" borderId="60" xfId="3" applyFont="1" applyFill="1" applyBorder="1"/>
    <xf numFmtId="43" fontId="6" fillId="11" borderId="62" xfId="3" applyFont="1" applyFill="1" applyBorder="1"/>
    <xf numFmtId="0" fontId="5" fillId="0" borderId="24" xfId="0" applyFont="1" applyBorder="1"/>
    <xf numFmtId="43" fontId="5" fillId="0" borderId="24" xfId="3" applyFont="1" applyBorder="1"/>
    <xf numFmtId="43" fontId="6" fillId="11" borderId="64" xfId="3" applyFont="1" applyFill="1" applyBorder="1"/>
    <xf numFmtId="43" fontId="5" fillId="10" borderId="59" xfId="3" applyFont="1" applyFill="1" applyBorder="1"/>
    <xf numFmtId="0" fontId="5" fillId="0" borderId="52" xfId="0" applyFont="1" applyBorder="1" applyAlignment="1">
      <alignment horizontal="right"/>
    </xf>
    <xf numFmtId="0" fontId="5" fillId="0" borderId="0" xfId="0" applyFont="1"/>
    <xf numFmtId="43" fontId="6" fillId="11" borderId="24" xfId="3" applyFont="1" applyFill="1" applyBorder="1"/>
    <xf numFmtId="43" fontId="8" fillId="12" borderId="28" xfId="3" applyFont="1" applyFill="1" applyBorder="1" applyAlignment="1">
      <alignment vertical="center" wrapText="1"/>
    </xf>
    <xf numFmtId="43" fontId="8" fillId="12" borderId="29" xfId="3" applyFont="1" applyFill="1" applyBorder="1" applyAlignment="1">
      <alignment vertical="center" wrapText="1"/>
    </xf>
    <xf numFmtId="0" fontId="5" fillId="13" borderId="0" xfId="0" applyFont="1" applyFill="1"/>
    <xf numFmtId="0" fontId="5" fillId="14" borderId="0" xfId="0" applyFont="1" applyFill="1"/>
    <xf numFmtId="0" fontId="5" fillId="15" borderId="0" xfId="0" applyFont="1" applyFill="1"/>
    <xf numFmtId="0" fontId="5" fillId="13" borderId="56" xfId="0" applyFont="1" applyFill="1" applyBorder="1"/>
    <xf numFmtId="0" fontId="5" fillId="14" borderId="32" xfId="0" applyFont="1" applyFill="1" applyBorder="1"/>
    <xf numFmtId="0" fontId="5" fillId="15" borderId="37" xfId="0" applyFont="1" applyFill="1" applyBorder="1"/>
    <xf numFmtId="3" fontId="2" fillId="16" borderId="1" xfId="0" applyNumberFormat="1" applyFont="1" applyFill="1" applyBorder="1" applyProtection="1">
      <protection locked="0"/>
    </xf>
    <xf numFmtId="3" fontId="2" fillId="16" borderId="8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43" fontId="5" fillId="0" borderId="0" xfId="3" applyFont="1" applyBorder="1" applyAlignment="1">
      <alignment vertical="center"/>
    </xf>
    <xf numFmtId="43" fontId="5" fillId="0" borderId="48" xfId="3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43" fontId="6" fillId="11" borderId="77" xfId="3" applyFont="1" applyFill="1" applyBorder="1"/>
    <xf numFmtId="43" fontId="6" fillId="11" borderId="78" xfId="3" applyFont="1" applyFill="1" applyBorder="1"/>
    <xf numFmtId="43" fontId="6" fillId="11" borderId="79" xfId="3" applyFont="1" applyFill="1" applyBorder="1"/>
    <xf numFmtId="0" fontId="3" fillId="6" borderId="1" xfId="0" applyFont="1" applyFill="1" applyBorder="1" applyAlignment="1">
      <alignment horizontal="center"/>
    </xf>
    <xf numFmtId="0" fontId="5" fillId="8" borderId="34" xfId="0" quotePrefix="1" applyFont="1" applyFill="1" applyBorder="1" applyAlignment="1">
      <alignment horizontal="left"/>
    </xf>
    <xf numFmtId="0" fontId="5" fillId="8" borderId="29" xfId="0" quotePrefix="1" applyFont="1" applyFill="1" applyBorder="1" applyAlignment="1">
      <alignment horizontal="left"/>
    </xf>
    <xf numFmtId="43" fontId="8" fillId="9" borderId="28" xfId="3" applyFont="1" applyFill="1" applyBorder="1" applyAlignment="1">
      <alignment vertical="center" wrapText="1"/>
    </xf>
    <xf numFmtId="43" fontId="8" fillId="9" borderId="29" xfId="3" applyFont="1" applyFill="1" applyBorder="1" applyAlignment="1">
      <alignment vertical="center" wrapText="1"/>
    </xf>
    <xf numFmtId="0" fontId="3" fillId="8" borderId="29" xfId="0" quotePrefix="1" applyFont="1" applyFill="1" applyBorder="1" applyAlignment="1">
      <alignment horizontal="left"/>
    </xf>
    <xf numFmtId="0" fontId="10" fillId="2" borderId="10" xfId="0" applyFont="1" applyFill="1" applyBorder="1"/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1" xfId="0" applyFont="1" applyFill="1" applyBorder="1" applyAlignment="1">
      <alignment wrapText="1"/>
    </xf>
    <xf numFmtId="0" fontId="2" fillId="3" borderId="3" xfId="0" applyFont="1" applyFill="1" applyBorder="1"/>
    <xf numFmtId="3" fontId="2" fillId="10" borderId="1" xfId="0" applyNumberFormat="1" applyFont="1" applyFill="1" applyBorder="1" applyAlignment="1" applyProtection="1">
      <alignment horizontal="center"/>
      <protection locked="0"/>
    </xf>
    <xf numFmtId="3" fontId="2" fillId="3" borderId="14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2" fillId="11" borderId="14" xfId="0" applyNumberFormat="1" applyFont="1" applyFill="1" applyBorder="1" applyAlignment="1">
      <alignment horizontal="center"/>
    </xf>
    <xf numFmtId="0" fontId="2" fillId="0" borderId="0" xfId="0" applyFont="1" applyProtection="1">
      <protection locked="0"/>
    </xf>
    <xf numFmtId="0" fontId="2" fillId="3" borderId="13" xfId="0" applyFont="1" applyFill="1" applyBorder="1"/>
    <xf numFmtId="3" fontId="2" fillId="3" borderId="8" xfId="0" applyNumberFormat="1" applyFont="1" applyFill="1" applyBorder="1" applyAlignment="1">
      <alignment horizontal="center"/>
    </xf>
    <xf numFmtId="3" fontId="2" fillId="3" borderId="7" xfId="0" applyNumberFormat="1" applyFont="1" applyFill="1" applyBorder="1" applyAlignment="1">
      <alignment horizontal="center"/>
    </xf>
    <xf numFmtId="4" fontId="2" fillId="11" borderId="7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0" fontId="2" fillId="0" borderId="23" xfId="0" applyFont="1" applyBorder="1"/>
    <xf numFmtId="0" fontId="2" fillId="0" borderId="0" xfId="0" applyFont="1"/>
    <xf numFmtId="0" fontId="2" fillId="0" borderId="48" xfId="0" applyFont="1" applyBorder="1"/>
    <xf numFmtId="0" fontId="2" fillId="0" borderId="50" xfId="0" applyFont="1" applyBorder="1"/>
    <xf numFmtId="43" fontId="2" fillId="0" borderId="0" xfId="3" applyFont="1" applyBorder="1"/>
    <xf numFmtId="0" fontId="2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3" applyFont="1" applyBorder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5" fillId="0" borderId="33" xfId="0" applyFont="1" applyBorder="1" applyAlignment="1">
      <alignment vertical="top"/>
    </xf>
    <xf numFmtId="0" fontId="2" fillId="0" borderId="75" xfId="0" applyFont="1" applyBorder="1"/>
    <xf numFmtId="0" fontId="2" fillId="0" borderId="75" xfId="0" applyFont="1" applyBorder="1" applyAlignment="1">
      <alignment horizontal="center"/>
    </xf>
    <xf numFmtId="0" fontId="2" fillId="0" borderId="76" xfId="0" applyFont="1" applyBorder="1"/>
    <xf numFmtId="0" fontId="6" fillId="0" borderId="33" xfId="0" applyFont="1" applyBorder="1" applyAlignment="1">
      <alignment vertical="top"/>
    </xf>
    <xf numFmtId="0" fontId="2" fillId="0" borderId="0" xfId="0" applyFont="1" applyAlignment="1" applyProtection="1">
      <alignment horizontal="center"/>
      <protection locked="0"/>
    </xf>
    <xf numFmtId="0" fontId="2" fillId="0" borderId="11" xfId="0" quotePrefix="1" applyFont="1" applyBorder="1" applyAlignment="1">
      <alignment horizontal="center" vertical="center" wrapText="1"/>
    </xf>
    <xf numFmtId="3" fontId="2" fillId="3" borderId="12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 applyProtection="1">
      <alignment horizontal="center"/>
      <protection locked="0"/>
    </xf>
    <xf numFmtId="4" fontId="2" fillId="11" borderId="14" xfId="0" applyNumberFormat="1" applyFont="1" applyFill="1" applyBorder="1" applyAlignment="1" applyProtection="1">
      <alignment horizontal="center"/>
      <protection locked="0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/>
    <xf numFmtId="0" fontId="2" fillId="3" borderId="82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vertical="center" wrapText="1"/>
    </xf>
    <xf numFmtId="3" fontId="2" fillId="16" borderId="11" xfId="0" applyNumberFormat="1" applyFont="1" applyFill="1" applyBorder="1" applyAlignment="1" applyProtection="1">
      <alignment horizontal="center"/>
      <protection locked="0"/>
    </xf>
    <xf numFmtId="3" fontId="2" fillId="16" borderId="1" xfId="0" applyNumberFormat="1" applyFont="1" applyFill="1" applyBorder="1" applyAlignment="1" applyProtection="1">
      <alignment horizontal="center"/>
      <protection locked="0"/>
    </xf>
    <xf numFmtId="3" fontId="2" fillId="16" borderId="2" xfId="0" applyNumberFormat="1" applyFont="1" applyFill="1" applyBorder="1" applyAlignment="1">
      <alignment horizontal="center"/>
    </xf>
    <xf numFmtId="0" fontId="2" fillId="18" borderId="83" xfId="0" applyFont="1" applyFill="1" applyBorder="1"/>
    <xf numFmtId="0" fontId="3" fillId="3" borderId="14" xfId="0" applyFont="1" applyFill="1" applyBorder="1"/>
    <xf numFmtId="0" fontId="10" fillId="2" borderId="1" xfId="0" applyFont="1" applyFill="1" applyBorder="1"/>
    <xf numFmtId="0" fontId="10" fillId="2" borderId="1" xfId="0" quotePrefix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wrapText="1"/>
    </xf>
    <xf numFmtId="0" fontId="2" fillId="6" borderId="14" xfId="0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11" xfId="0" quotePrefix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wrapText="1"/>
    </xf>
    <xf numFmtId="0" fontId="3" fillId="3" borderId="7" xfId="0" applyFont="1" applyFill="1" applyBorder="1"/>
    <xf numFmtId="0" fontId="3" fillId="6" borderId="8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0" fillId="2" borderId="11" xfId="0" quotePrefix="1" applyFont="1" applyFill="1" applyBorder="1" applyAlignment="1">
      <alignment horizontal="center" wrapText="1"/>
    </xf>
    <xf numFmtId="0" fontId="3" fillId="6" borderId="70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3" borderId="6" xfId="0" applyFont="1" applyFill="1" applyBorder="1"/>
    <xf numFmtId="0" fontId="2" fillId="0" borderId="75" xfId="0" applyFont="1" applyBorder="1" applyProtection="1">
      <protection locked="0"/>
    </xf>
    <xf numFmtId="0" fontId="2" fillId="0" borderId="75" xfId="0" applyFont="1" applyBorder="1" applyAlignment="1" applyProtection="1">
      <alignment horizontal="center"/>
      <protection locked="0"/>
    </xf>
    <xf numFmtId="3" fontId="2" fillId="11" borderId="14" xfId="0" applyNumberFormat="1" applyFont="1" applyFill="1" applyBorder="1" applyAlignment="1">
      <alignment horizontal="center"/>
    </xf>
    <xf numFmtId="0" fontId="18" fillId="3" borderId="3" xfId="0" applyFont="1" applyFill="1" applyBorder="1"/>
    <xf numFmtId="3" fontId="2" fillId="3" borderId="14" xfId="0" applyNumberFormat="1" applyFont="1" applyFill="1" applyBorder="1" applyAlignment="1">
      <alignment horizontal="left"/>
    </xf>
    <xf numFmtId="0" fontId="19" fillId="2" borderId="1" xfId="0" applyFont="1" applyFill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1" fontId="2" fillId="3" borderId="1" xfId="0" applyNumberFormat="1" applyFont="1" applyFill="1" applyBorder="1" applyAlignment="1">
      <alignment horizontal="center"/>
    </xf>
    <xf numFmtId="0" fontId="20" fillId="0" borderId="0" xfId="0" applyFont="1"/>
    <xf numFmtId="0" fontId="2" fillId="0" borderId="0" xfId="0" applyFont="1" applyAlignment="1">
      <alignment horizontal="center"/>
    </xf>
    <xf numFmtId="4" fontId="2" fillId="11" borderId="12" xfId="0" applyNumberFormat="1" applyFont="1" applyFill="1" applyBorder="1" applyAlignment="1" applyProtection="1">
      <alignment horizontal="center"/>
      <protection locked="0"/>
    </xf>
    <xf numFmtId="4" fontId="2" fillId="11" borderId="7" xfId="0" applyNumberFormat="1" applyFont="1" applyFill="1" applyBorder="1" applyAlignment="1" applyProtection="1">
      <alignment horizontal="center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0" borderId="11" xfId="0" quotePrefix="1" applyFont="1" applyBorder="1"/>
    <xf numFmtId="43" fontId="2" fillId="0" borderId="0" xfId="3" applyFont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3" borderId="72" xfId="0" applyFont="1" applyFill="1" applyBorder="1"/>
    <xf numFmtId="43" fontId="6" fillId="0" borderId="48" xfId="3" applyFont="1" applyFill="1" applyBorder="1" applyAlignment="1">
      <alignment vertical="center"/>
    </xf>
    <xf numFmtId="0" fontId="2" fillId="3" borderId="74" xfId="0" applyFont="1" applyFill="1" applyBorder="1"/>
    <xf numFmtId="0" fontId="2" fillId="3" borderId="73" xfId="0" applyFont="1" applyFill="1" applyBorder="1"/>
    <xf numFmtId="3" fontId="2" fillId="3" borderId="68" xfId="0" applyNumberFormat="1" applyFont="1" applyFill="1" applyBorder="1" applyAlignment="1">
      <alignment horizontal="center"/>
    </xf>
    <xf numFmtId="164" fontId="2" fillId="3" borderId="69" xfId="0" applyNumberFormat="1" applyFont="1" applyFill="1" applyBorder="1" applyAlignment="1">
      <alignment horizontal="center"/>
    </xf>
    <xf numFmtId="43" fontId="2" fillId="0" borderId="50" xfId="3" applyFont="1" applyBorder="1" applyAlignment="1">
      <alignment vertical="center"/>
    </xf>
    <xf numFmtId="43" fontId="7" fillId="0" borderId="51" xfId="3" applyFont="1" applyFill="1" applyBorder="1" applyAlignment="1">
      <alignment horizontal="right" vertical="center"/>
    </xf>
    <xf numFmtId="0" fontId="2" fillId="8" borderId="51" xfId="0" applyFont="1" applyFill="1" applyBorder="1"/>
    <xf numFmtId="0" fontId="21" fillId="0" borderId="0" xfId="0" applyFont="1"/>
    <xf numFmtId="0" fontId="21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9" fontId="2" fillId="10" borderId="1" xfId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 applyProtection="1">
      <alignment horizontal="center"/>
      <protection locked="0"/>
    </xf>
    <xf numFmtId="9" fontId="2" fillId="17" borderId="1" xfId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33" xfId="0" applyFont="1" applyBorder="1"/>
    <xf numFmtId="1" fontId="10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 wrapText="1"/>
    </xf>
    <xf numFmtId="1" fontId="10" fillId="2" borderId="16" xfId="0" applyNumberFormat="1" applyFont="1" applyFill="1" applyBorder="1" applyAlignment="1">
      <alignment horizontal="center" wrapText="1"/>
    </xf>
    <xf numFmtId="0" fontId="2" fillId="4" borderId="1" xfId="0" applyFont="1" applyFill="1" applyBorder="1"/>
    <xf numFmtId="3" fontId="2" fillId="3" borderId="6" xfId="0" applyNumberFormat="1" applyFont="1" applyFill="1" applyBorder="1" applyAlignment="1">
      <alignment horizontal="center"/>
    </xf>
    <xf numFmtId="0" fontId="6" fillId="5" borderId="1" xfId="0" applyFont="1" applyFill="1" applyBorder="1"/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9" fontId="3" fillId="3" borderId="6" xfId="1" applyFont="1" applyFill="1" applyBorder="1" applyAlignment="1" applyProtection="1">
      <alignment horizontal="center"/>
    </xf>
    <xf numFmtId="165" fontId="3" fillId="3" borderId="6" xfId="1" applyNumberFormat="1" applyFont="1" applyFill="1" applyBorder="1" applyAlignment="1" applyProtection="1">
      <alignment horizontal="center"/>
    </xf>
    <xf numFmtId="2" fontId="2" fillId="0" borderId="0" xfId="0" applyNumberFormat="1" applyFont="1" applyProtection="1">
      <protection locked="0"/>
    </xf>
    <xf numFmtId="3" fontId="2" fillId="17" borderId="1" xfId="0" applyNumberFormat="1" applyFont="1" applyFill="1" applyBorder="1" applyAlignment="1" applyProtection="1">
      <alignment horizontal="right" indent="1"/>
      <protection locked="0"/>
    </xf>
    <xf numFmtId="0" fontId="11" fillId="0" borderId="0" xfId="0" applyFont="1" applyAlignment="1" applyProtection="1">
      <alignment horizontal="center"/>
      <protection locked="0"/>
    </xf>
    <xf numFmtId="3" fontId="2" fillId="17" borderId="8" xfId="0" applyNumberFormat="1" applyFont="1" applyFill="1" applyBorder="1" applyAlignment="1" applyProtection="1">
      <alignment horizontal="right" indent="1"/>
      <protection locked="0"/>
    </xf>
    <xf numFmtId="0" fontId="2" fillId="3" borderId="1" xfId="0" quotePrefix="1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9" fontId="2" fillId="3" borderId="1" xfId="1" applyFont="1" applyFill="1" applyBorder="1" applyAlignment="1">
      <alignment horizontal="center"/>
    </xf>
    <xf numFmtId="167" fontId="2" fillId="10" borderId="1" xfId="3" applyNumberFormat="1" applyFont="1" applyFill="1" applyBorder="1" applyAlignment="1" applyProtection="1">
      <alignment horizontal="center" vertical="center"/>
      <protection locked="0"/>
    </xf>
    <xf numFmtId="43" fontId="5" fillId="0" borderId="0" xfId="3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3" borderId="8" xfId="0" applyFont="1" applyFill="1" applyBorder="1" applyAlignment="1">
      <alignment horizontal="center"/>
    </xf>
    <xf numFmtId="9" fontId="2" fillId="10" borderId="8" xfId="1" applyFont="1" applyFill="1" applyBorder="1" applyAlignment="1" applyProtection="1">
      <alignment horizontal="center" vertical="center"/>
      <protection locked="0"/>
    </xf>
    <xf numFmtId="166" fontId="2" fillId="3" borderId="8" xfId="0" applyNumberFormat="1" applyFont="1" applyFill="1" applyBorder="1" applyAlignment="1" applyProtection="1">
      <alignment horizontal="center"/>
      <protection locked="0"/>
    </xf>
    <xf numFmtId="9" fontId="2" fillId="17" borderId="8" xfId="1" applyFont="1" applyFill="1" applyBorder="1" applyAlignment="1" applyProtection="1">
      <alignment horizontal="center" vertical="center"/>
      <protection locked="0"/>
    </xf>
    <xf numFmtId="167" fontId="3" fillId="3" borderId="1" xfId="3" applyNumberFormat="1" applyFont="1" applyFill="1" applyBorder="1" applyAlignment="1">
      <alignment horizontal="center" vertical="center" wrapText="1"/>
    </xf>
    <xf numFmtId="0" fontId="22" fillId="0" borderId="0" xfId="0" applyFont="1"/>
    <xf numFmtId="0" fontId="2" fillId="17" borderId="0" xfId="0" applyFont="1" applyFill="1"/>
    <xf numFmtId="0" fontId="2" fillId="3" borderId="13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9" fontId="2" fillId="17" borderId="11" xfId="1" applyFont="1" applyFill="1" applyBorder="1" applyAlignment="1" applyProtection="1">
      <alignment horizontal="center" vertical="center"/>
      <protection locked="0"/>
    </xf>
    <xf numFmtId="0" fontId="10" fillId="2" borderId="15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3" fontId="2" fillId="10" borderId="15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19" xfId="0" applyFont="1" applyFill="1" applyBorder="1" applyAlignment="1">
      <alignment wrapText="1"/>
    </xf>
    <xf numFmtId="3" fontId="2" fillId="3" borderId="20" xfId="0" applyNumberFormat="1" applyFont="1" applyFill="1" applyBorder="1" applyAlignment="1">
      <alignment horizontal="right"/>
    </xf>
    <xf numFmtId="3" fontId="2" fillId="3" borderId="4" xfId="0" applyNumberFormat="1" applyFont="1" applyFill="1" applyBorder="1"/>
    <xf numFmtId="0" fontId="23" fillId="3" borderId="13" xfId="0" applyFont="1" applyFill="1" applyBorder="1"/>
    <xf numFmtId="0" fontId="23" fillId="6" borderId="1" xfId="0" applyFont="1" applyFill="1" applyBorder="1" applyAlignment="1">
      <alignment horizontal="center"/>
    </xf>
    <xf numFmtId="9" fontId="23" fillId="3" borderId="8" xfId="0" applyNumberFormat="1" applyFont="1" applyFill="1" applyBorder="1" applyAlignment="1" applyProtection="1">
      <alignment horizontal="center"/>
      <protection locked="0"/>
    </xf>
    <xf numFmtId="166" fontId="23" fillId="3" borderId="8" xfId="0" applyNumberFormat="1" applyFont="1" applyFill="1" applyBorder="1" applyAlignment="1" applyProtection="1">
      <alignment horizontal="left"/>
      <protection locked="0"/>
    </xf>
    <xf numFmtId="0" fontId="3" fillId="0" borderId="33" xfId="0" applyFont="1" applyBorder="1"/>
    <xf numFmtId="0" fontId="10" fillId="2" borderId="19" xfId="0" applyFont="1" applyFill="1" applyBorder="1" applyAlignment="1">
      <alignment wrapText="1"/>
    </xf>
    <xf numFmtId="1" fontId="2" fillId="17" borderId="1" xfId="1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>
      <alignment horizontal="left"/>
    </xf>
    <xf numFmtId="4" fontId="2" fillId="11" borderId="70" xfId="0" applyNumberFormat="1" applyFont="1" applyFill="1" applyBorder="1" applyAlignment="1">
      <alignment horizontal="center"/>
    </xf>
    <xf numFmtId="43" fontId="2" fillId="3" borderId="15" xfId="3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2" fillId="3" borderId="85" xfId="0" applyFont="1" applyFill="1" applyBorder="1"/>
    <xf numFmtId="0" fontId="2" fillId="3" borderId="80" xfId="0" applyFont="1" applyFill="1" applyBorder="1" applyAlignment="1">
      <alignment horizontal="center"/>
    </xf>
    <xf numFmtId="4" fontId="2" fillId="11" borderId="80" xfId="0" applyNumberFormat="1" applyFont="1" applyFill="1" applyBorder="1" applyAlignment="1">
      <alignment horizontal="center"/>
    </xf>
    <xf numFmtId="3" fontId="2" fillId="3" borderId="8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2" fillId="0" borderId="34" xfId="0" applyFont="1" applyBorder="1"/>
    <xf numFmtId="0" fontId="2" fillId="0" borderId="28" xfId="0" applyFont="1" applyBorder="1"/>
    <xf numFmtId="0" fontId="2" fillId="0" borderId="24" xfId="0" applyFont="1" applyBorder="1"/>
    <xf numFmtId="0" fontId="2" fillId="0" borderId="29" xfId="0" applyFont="1" applyBorder="1"/>
    <xf numFmtId="0" fontId="2" fillId="0" borderId="47" xfId="0" applyFont="1" applyBorder="1"/>
    <xf numFmtId="0" fontId="2" fillId="0" borderId="49" xfId="0" applyFont="1" applyBorder="1"/>
    <xf numFmtId="0" fontId="2" fillId="13" borderId="55" xfId="0" applyFont="1" applyFill="1" applyBorder="1"/>
    <xf numFmtId="43" fontId="2" fillId="13" borderId="56" xfId="3" applyFont="1" applyFill="1" applyBorder="1"/>
    <xf numFmtId="43" fontId="2" fillId="13" borderId="57" xfId="3" applyFont="1" applyFill="1" applyBorder="1"/>
    <xf numFmtId="43" fontId="2" fillId="10" borderId="58" xfId="3" applyFont="1" applyFill="1" applyBorder="1"/>
    <xf numFmtId="0" fontId="2" fillId="14" borderId="31" xfId="0" applyFont="1" applyFill="1" applyBorder="1"/>
    <xf numFmtId="43" fontId="2" fillId="14" borderId="32" xfId="3" applyFont="1" applyFill="1" applyBorder="1"/>
    <xf numFmtId="43" fontId="2" fillId="14" borderId="33" xfId="3" applyFont="1" applyFill="1" applyBorder="1"/>
    <xf numFmtId="43" fontId="2" fillId="10" borderId="59" xfId="3" applyFont="1" applyFill="1" applyBorder="1"/>
    <xf numFmtId="0" fontId="2" fillId="15" borderId="36" xfId="0" applyFont="1" applyFill="1" applyBorder="1"/>
    <xf numFmtId="43" fontId="2" fillId="15" borderId="37" xfId="3" applyFont="1" applyFill="1" applyBorder="1"/>
    <xf numFmtId="43" fontId="2" fillId="15" borderId="38" xfId="3" applyFont="1" applyFill="1" applyBorder="1"/>
    <xf numFmtId="43" fontId="2" fillId="10" borderId="61" xfId="3" applyFont="1" applyFill="1" applyBorder="1"/>
    <xf numFmtId="43" fontId="2" fillId="10" borderId="63" xfId="3" applyFont="1" applyFill="1" applyBorder="1"/>
    <xf numFmtId="0" fontId="2" fillId="0" borderId="52" xfId="0" applyFont="1" applyBorder="1"/>
    <xf numFmtId="0" fontId="2" fillId="0" borderId="53" xfId="0" applyFont="1" applyBorder="1"/>
    <xf numFmtId="0" fontId="2" fillId="0" borderId="65" xfId="0" applyFont="1" applyBorder="1"/>
    <xf numFmtId="0" fontId="2" fillId="0" borderId="66" xfId="0" applyFont="1" applyBorder="1"/>
    <xf numFmtId="0" fontId="2" fillId="0" borderId="67" xfId="0" applyFont="1" applyBorder="1"/>
    <xf numFmtId="0" fontId="4" fillId="0" borderId="35" xfId="4" applyFont="1" applyBorder="1"/>
    <xf numFmtId="0" fontId="2" fillId="0" borderId="54" xfId="0" applyFont="1" applyBorder="1"/>
    <xf numFmtId="0" fontId="4" fillId="0" borderId="81" xfId="4" applyFont="1" applyBorder="1"/>
    <xf numFmtId="0" fontId="2" fillId="0" borderId="35" xfId="0" applyFont="1" applyBorder="1"/>
    <xf numFmtId="0" fontId="2" fillId="0" borderId="81" xfId="0" applyFont="1" applyBorder="1"/>
    <xf numFmtId="0" fontId="2" fillId="0" borderId="39" xfId="0" applyFont="1" applyBorder="1"/>
    <xf numFmtId="0" fontId="10" fillId="2" borderId="14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wrapText="1"/>
    </xf>
    <xf numFmtId="0" fontId="10" fillId="2" borderId="17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2" fillId="0" borderId="0" xfId="0" quotePrefix="1" applyFont="1" applyAlignment="1">
      <alignment horizontal="center" vertical="center"/>
    </xf>
    <xf numFmtId="0" fontId="10" fillId="2" borderId="1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165" fontId="2" fillId="3" borderId="15" xfId="1" applyNumberFormat="1" applyFont="1" applyFill="1" applyBorder="1" applyAlignment="1" applyProtection="1">
      <alignment horizontal="right"/>
    </xf>
    <xf numFmtId="0" fontId="2" fillId="3" borderId="15" xfId="0" applyFont="1" applyFill="1" applyBorder="1" applyAlignment="1">
      <alignment horizontal="right"/>
    </xf>
    <xf numFmtId="3" fontId="2" fillId="3" borderId="21" xfId="0" applyNumberFormat="1" applyFont="1" applyFill="1" applyBorder="1"/>
    <xf numFmtId="165" fontId="2" fillId="3" borderId="21" xfId="0" applyNumberFormat="1" applyFont="1" applyFill="1" applyBorder="1"/>
    <xf numFmtId="0" fontId="10" fillId="2" borderId="2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3" fontId="2" fillId="10" borderId="14" xfId="0" applyNumberFormat="1" applyFont="1" applyFill="1" applyBorder="1" applyAlignment="1">
      <alignment horizontal="center"/>
    </xf>
    <xf numFmtId="0" fontId="10" fillId="2" borderId="22" xfId="0" quotePrefix="1" applyFont="1" applyFill="1" applyBorder="1" applyAlignment="1">
      <alignment horizontal="center" vertical="center"/>
    </xf>
    <xf numFmtId="0" fontId="2" fillId="3" borderId="86" xfId="0" applyFont="1" applyFill="1" applyBorder="1"/>
    <xf numFmtId="0" fontId="10" fillId="2" borderId="15" xfId="0" applyFont="1" applyFill="1" applyBorder="1" applyAlignment="1">
      <alignment horizontal="left" vertical="center"/>
    </xf>
    <xf numFmtId="0" fontId="2" fillId="10" borderId="0" xfId="0" applyFont="1" applyFill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164" fontId="2" fillId="3" borderId="15" xfId="1" applyNumberFormat="1" applyFont="1" applyFill="1" applyBorder="1" applyAlignment="1">
      <alignment horizontal="right"/>
    </xf>
    <xf numFmtId="43" fontId="2" fillId="3" borderId="15" xfId="3" applyFont="1" applyFill="1" applyBorder="1" applyAlignment="1">
      <alignment horizontal="right"/>
    </xf>
    <xf numFmtId="4" fontId="2" fillId="11" borderId="15" xfId="0" applyNumberFormat="1" applyFont="1" applyFill="1" applyBorder="1" applyAlignment="1">
      <alignment horizontal="right"/>
    </xf>
    <xf numFmtId="4" fontId="2" fillId="11" borderId="12" xfId="0" applyNumberFormat="1" applyFont="1" applyFill="1" applyBorder="1" applyAlignment="1">
      <alignment horizontal="center"/>
    </xf>
    <xf numFmtId="164" fontId="2" fillId="3" borderId="87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3" fontId="5" fillId="10" borderId="1" xfId="0" applyNumberFormat="1" applyFont="1" applyFill="1" applyBorder="1" applyAlignment="1" applyProtection="1">
      <alignment horizontal="center"/>
      <protection locked="0"/>
    </xf>
    <xf numFmtId="0" fontId="24" fillId="3" borderId="3" xfId="0" applyFont="1" applyFill="1" applyBorder="1"/>
    <xf numFmtId="0" fontId="25" fillId="3" borderId="3" xfId="0" applyFont="1" applyFill="1" applyBorder="1"/>
    <xf numFmtId="3" fontId="25" fillId="3" borderId="14" xfId="0" applyNumberFormat="1" applyFont="1" applyFill="1" applyBorder="1" applyAlignment="1">
      <alignment horizontal="left"/>
    </xf>
    <xf numFmtId="0" fontId="10" fillId="2" borderId="22" xfId="0" quotePrefix="1" applyFont="1" applyFill="1" applyBorder="1" applyAlignment="1">
      <alignment horizontal="center" vertical="center" wrapText="1"/>
    </xf>
    <xf numFmtId="0" fontId="2" fillId="6" borderId="70" xfId="0" applyFont="1" applyFill="1" applyBorder="1" applyAlignment="1">
      <alignment horizontal="center"/>
    </xf>
    <xf numFmtId="0" fontId="2" fillId="3" borderId="88" xfId="0" applyNumberFormat="1" applyFont="1" applyFill="1" applyBorder="1" applyAlignment="1">
      <alignment horizontal="right"/>
    </xf>
    <xf numFmtId="0" fontId="2" fillId="3" borderId="70" xfId="0" applyFont="1" applyFill="1" applyBorder="1" applyAlignment="1">
      <alignment horizontal="left"/>
    </xf>
    <xf numFmtId="4" fontId="2" fillId="11" borderId="88" xfId="0" applyNumberFormat="1" applyFont="1" applyFill="1" applyBorder="1" applyAlignment="1">
      <alignment horizontal="right"/>
    </xf>
    <xf numFmtId="43" fontId="6" fillId="11" borderId="89" xfId="3" applyFont="1" applyFill="1" applyBorder="1"/>
    <xf numFmtId="43" fontId="2" fillId="10" borderId="90" xfId="3" applyFont="1" applyFill="1" applyBorder="1"/>
    <xf numFmtId="43" fontId="6" fillId="11" borderId="91" xfId="3" applyFont="1" applyFill="1" applyBorder="1"/>
    <xf numFmtId="0" fontId="2" fillId="0" borderId="30" xfId="0" applyFont="1" applyBorder="1"/>
    <xf numFmtId="0" fontId="2" fillId="6" borderId="92" xfId="0" applyFont="1" applyFill="1" applyBorder="1" applyAlignment="1">
      <alignment horizontal="center"/>
    </xf>
    <xf numFmtId="2" fontId="5" fillId="0" borderId="27" xfId="0" applyNumberFormat="1" applyFont="1" applyBorder="1"/>
    <xf numFmtId="2" fontId="5" fillId="0" borderId="34" xfId="0" applyNumberFormat="1" applyFont="1" applyBorder="1"/>
    <xf numFmtId="2" fontId="5" fillId="0" borderId="54" xfId="0" applyNumberFormat="1" applyFont="1" applyBorder="1"/>
    <xf numFmtId="0" fontId="10" fillId="12" borderId="40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/>
    </xf>
    <xf numFmtId="0" fontId="10" fillId="12" borderId="42" xfId="0" applyFont="1" applyFill="1" applyBorder="1" applyAlignment="1">
      <alignment horizontal="center"/>
    </xf>
    <xf numFmtId="0" fontId="8" fillId="12" borderId="25" xfId="0" applyFont="1" applyFill="1" applyBorder="1" applyAlignment="1">
      <alignment horizontal="center" vertical="center"/>
    </xf>
    <xf numFmtId="0" fontId="8" fillId="12" borderId="28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/>
    </xf>
    <xf numFmtId="0" fontId="8" fillId="12" borderId="24" xfId="0" applyFont="1" applyFill="1" applyBorder="1" applyAlignment="1">
      <alignment horizontal="center" vertical="center"/>
    </xf>
    <xf numFmtId="0" fontId="8" fillId="12" borderId="26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43" fontId="8" fillId="12" borderId="25" xfId="3" applyFont="1" applyFill="1" applyBorder="1" applyAlignment="1">
      <alignment horizontal="center" vertical="center" wrapText="1"/>
    </xf>
    <xf numFmtId="43" fontId="8" fillId="12" borderId="27" xfId="3" applyFont="1" applyFill="1" applyBorder="1" applyAlignment="1">
      <alignment horizontal="center" vertical="center" wrapText="1"/>
    </xf>
    <xf numFmtId="0" fontId="8" fillId="12" borderId="30" xfId="0" applyFont="1" applyFill="1" applyBorder="1" applyAlignment="1">
      <alignment horizontal="center" vertical="center" readingOrder="1"/>
    </xf>
    <xf numFmtId="0" fontId="8" fillId="12" borderId="39" xfId="0" applyFont="1" applyFill="1" applyBorder="1" applyAlignment="1">
      <alignment horizontal="center" vertical="center" readingOrder="1"/>
    </xf>
    <xf numFmtId="0" fontId="8" fillId="9" borderId="30" xfId="0" applyFont="1" applyFill="1" applyBorder="1" applyAlignment="1">
      <alignment horizontal="center" vertical="center" readingOrder="1"/>
    </xf>
    <xf numFmtId="0" fontId="8" fillId="9" borderId="39" xfId="0" applyFont="1" applyFill="1" applyBorder="1" applyAlignment="1">
      <alignment horizontal="center" vertical="center" readingOrder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9" borderId="0" xfId="0" applyFont="1" applyFill="1" applyAlignment="1">
      <alignment horizontal="left" vertical="top"/>
    </xf>
    <xf numFmtId="43" fontId="9" fillId="10" borderId="0" xfId="3" applyFont="1" applyFill="1" applyBorder="1" applyAlignment="1">
      <alignment horizontal="center" vertical="center"/>
    </xf>
    <xf numFmtId="43" fontId="9" fillId="10" borderId="50" xfId="3" applyFont="1" applyFill="1" applyBorder="1" applyAlignment="1">
      <alignment horizontal="center" vertical="center"/>
    </xf>
    <xf numFmtId="43" fontId="9" fillId="11" borderId="0" xfId="3" applyFont="1" applyFill="1" applyBorder="1" applyAlignment="1">
      <alignment horizontal="center" vertical="center"/>
    </xf>
    <xf numFmtId="43" fontId="9" fillId="11" borderId="50" xfId="3" applyFont="1" applyFill="1" applyBorder="1" applyAlignment="1">
      <alignment horizontal="center" vertical="center"/>
    </xf>
    <xf numFmtId="0" fontId="8" fillId="12" borderId="0" xfId="0" applyFont="1" applyFill="1" applyAlignment="1">
      <alignment horizontal="left" vertical="top"/>
    </xf>
    <xf numFmtId="0" fontId="10" fillId="9" borderId="40" xfId="0" applyFont="1" applyFill="1" applyBorder="1" applyAlignment="1">
      <alignment horizontal="center"/>
    </xf>
    <xf numFmtId="0" fontId="10" fillId="9" borderId="41" xfId="0" applyFont="1" applyFill="1" applyBorder="1" applyAlignment="1">
      <alignment horizontal="center"/>
    </xf>
    <xf numFmtId="0" fontId="10" fillId="9" borderId="42" xfId="0" applyFont="1" applyFill="1" applyBorder="1" applyAlignment="1">
      <alignment horizontal="center"/>
    </xf>
    <xf numFmtId="0" fontId="8" fillId="9" borderId="25" xfId="0" applyFont="1" applyFill="1" applyBorder="1" applyAlignment="1">
      <alignment horizontal="center" vertical="center"/>
    </xf>
    <xf numFmtId="0" fontId="8" fillId="9" borderId="28" xfId="0" applyFont="1" applyFill="1" applyBorder="1" applyAlignment="1">
      <alignment horizontal="center" vertical="center"/>
    </xf>
    <xf numFmtId="0" fontId="8" fillId="9" borderId="26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43" fontId="8" fillId="9" borderId="25" xfId="3" applyFont="1" applyFill="1" applyBorder="1" applyAlignment="1">
      <alignment horizontal="center" vertical="center" wrapText="1"/>
    </xf>
    <xf numFmtId="43" fontId="8" fillId="9" borderId="27" xfId="3" applyFont="1" applyFill="1" applyBorder="1" applyAlignment="1">
      <alignment horizontal="center" vertical="center" wrapText="1"/>
    </xf>
    <xf numFmtId="0" fontId="3" fillId="8" borderId="0" xfId="0" quotePrefix="1" applyFont="1" applyFill="1" applyAlignment="1">
      <alignment horizontal="left"/>
    </xf>
    <xf numFmtId="0" fontId="7" fillId="0" borderId="50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3" fontId="9" fillId="10" borderId="8" xfId="3" applyFont="1" applyFill="1" applyBorder="1" applyAlignment="1">
      <alignment horizontal="center" vertical="center"/>
    </xf>
    <xf numFmtId="43" fontId="9" fillId="10" borderId="70" xfId="3" applyFont="1" applyFill="1" applyBorder="1" applyAlignment="1">
      <alignment horizontal="center" vertical="center"/>
    </xf>
    <xf numFmtId="43" fontId="9" fillId="10" borderId="71" xfId="3" applyFont="1" applyFill="1" applyBorder="1" applyAlignment="1">
      <alignment horizontal="center" vertical="center"/>
    </xf>
    <xf numFmtId="43" fontId="9" fillId="11" borderId="8" xfId="3" applyFont="1" applyFill="1" applyBorder="1" applyAlignment="1">
      <alignment horizontal="center" vertical="center"/>
    </xf>
    <xf numFmtId="43" fontId="9" fillId="11" borderId="70" xfId="3" applyFont="1" applyFill="1" applyBorder="1" applyAlignment="1">
      <alignment horizontal="center" vertical="center"/>
    </xf>
    <xf numFmtId="43" fontId="9" fillId="11" borderId="71" xfId="3" applyFont="1" applyFill="1" applyBorder="1" applyAlignment="1">
      <alignment horizontal="center" vertical="center"/>
    </xf>
    <xf numFmtId="0" fontId="3" fillId="8" borderId="80" xfId="0" applyFont="1" applyFill="1" applyBorder="1" applyAlignment="1">
      <alignment horizontal="center" vertical="center"/>
    </xf>
    <xf numFmtId="0" fontId="3" fillId="8" borderId="84" xfId="0" applyFont="1" applyFill="1" applyBorder="1" applyAlignment="1">
      <alignment horizontal="center" vertical="center"/>
    </xf>
    <xf numFmtId="0" fontId="6" fillId="8" borderId="0" xfId="0" quotePrefix="1" applyFont="1" applyFill="1" applyAlignment="1">
      <alignment horizontal="left"/>
    </xf>
    <xf numFmtId="0" fontId="10" fillId="2" borderId="14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8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5" fillId="17" borderId="0" xfId="0" applyFont="1" applyFill="1" applyAlignment="1">
      <alignment horizontal="left" vertical="top" wrapText="1"/>
    </xf>
    <xf numFmtId="0" fontId="3" fillId="8" borderId="0" xfId="0" applyFont="1" applyFill="1" applyAlignment="1">
      <alignment horizontal="left"/>
    </xf>
  </cellXfs>
  <cellStyles count="5">
    <cellStyle name="Komma" xfId="3" builtinId="3"/>
    <cellStyle name="Link" xfId="4" builtinId="8"/>
    <cellStyle name="Prozent" xfId="1" builtinId="5"/>
    <cellStyle name="Standard" xfId="0" builtinId="0"/>
    <cellStyle name="Standard 4" xfId="2"/>
  </cellStyles>
  <dxfs count="2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\ &quot;km&quot;"/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%"/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"/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outline="0">
        <top style="thin">
          <color theme="8" tint="-0.249977111117893"/>
        </top>
      </border>
    </dxf>
    <dxf>
      <border outline="0">
        <top style="thin">
          <color theme="1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5" formatCode="0.0%"/>
      <fill>
        <patternFill patternType="solid">
          <fgColor indexed="64"/>
          <bgColor theme="8" tint="0.5999938962981048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1" hidden="0"/>
    </dxf>
    <dxf>
      <border outline="0">
        <top style="thin">
          <color theme="4" tint="0.39997558519241921"/>
        </top>
      </border>
    </dxf>
    <dxf>
      <font>
        <strike val="0"/>
        <outline val="0"/>
        <shadow val="0"/>
        <sz val="10"/>
        <name val="Arial"/>
        <scheme val="none"/>
      </font>
      <protection locked="0" hidden="0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sz val="10"/>
        <name val="Arial"/>
        <scheme val="none"/>
      </font>
      <protection locked="0" hidden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  <protection locked="0" hidden="0"/>
    </dxf>
    <dxf>
      <font>
        <strike val="0"/>
        <outline val="0"/>
        <shadow val="0"/>
        <sz val="10"/>
        <name val="Arial"/>
        <scheme val="none"/>
      </font>
      <border outline="0">
        <left style="thin">
          <color theme="4" tint="0.39997558519241921"/>
        </left>
      </border>
    </dxf>
    <dxf>
      <font>
        <strike val="0"/>
        <outline val="0"/>
        <shadow val="0"/>
        <sz val="10"/>
        <name val="Arial"/>
        <scheme val="none"/>
      </font>
    </dxf>
    <dxf>
      <font>
        <strike val="0"/>
        <outline val="0"/>
        <shadow val="0"/>
        <sz val="10"/>
        <name val="Arial"/>
        <scheme val="none"/>
      </font>
    </dxf>
    <dxf>
      <border outline="0">
        <left style="thin">
          <color theme="4" tint="0.39997558519241921"/>
        </left>
      </border>
    </dxf>
    <dxf>
      <font>
        <strike val="0"/>
        <outline val="0"/>
        <shadow val="0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\ &quot;km&quot;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outline="0">
        <top style="thin">
          <color theme="8" tint="-0.249977111117893"/>
        </top>
      </border>
    </dxf>
    <dxf>
      <border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strike val="0"/>
        <outline val="0"/>
        <shadow val="0"/>
        <sz val="10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textRotation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strike val="0"/>
        <outline val="0"/>
        <shadow val="0"/>
        <sz val="10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center" textRotation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  <protection locked="0" hidden="0"/>
    </dxf>
    <dxf>
      <font>
        <strike val="0"/>
        <outline val="0"/>
        <shadow val="0"/>
        <sz val="10"/>
        <name val="Arial"/>
        <scheme val="none"/>
      </font>
      <numFmt numFmtId="3" formatCode="#,##0"/>
      <fill>
        <patternFill patternType="solid">
          <fgColor indexed="64"/>
          <bgColor theme="9" tint="0.59999389629810485"/>
        </patternFill>
      </fill>
      <alignment horizontal="right" vertical="bottom" textRotation="0" indent="1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sz val="10"/>
        <name val="Arial"/>
        <scheme val="none"/>
      </font>
      <numFmt numFmtId="1" formatCode="0"/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sz val="10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theme="8" tint="-0.249977111117893"/>
        </right>
        <top style="thin">
          <color theme="8" tint="-0.249977111117893"/>
        </top>
        <bottom/>
        <vertical/>
        <horizontal/>
      </border>
      <protection locked="0" hidden="0"/>
    </dxf>
    <dxf>
      <border outline="0">
        <top style="thin">
          <color theme="8" tint="-0.249977111117893"/>
        </top>
      </border>
    </dxf>
    <dxf>
      <border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sz val="10"/>
        <name val="Arial"/>
        <scheme val="none"/>
      </font>
      <fill>
        <patternFill>
          <fgColor indexed="64"/>
          <bgColor theme="8" tint="0.59999389629810485"/>
        </patternFill>
      </fill>
      <protection locked="0" hidden="0"/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0"/>
    </dxf>
    <dxf>
      <fill>
        <patternFill>
          <bgColor theme="8" tint="0.599963377788628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0.000"/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border outline="0">
        <top style="thin">
          <color theme="8" tint="-0.249977111117893"/>
        </top>
      </border>
    </dxf>
    <dxf>
      <border outline="0">
        <top style="thin">
          <color theme="1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/>
        <top style="thin">
          <color theme="8" tint="-0.249977111117893"/>
        </top>
        <bottom/>
      </border>
    </dxf>
    <dxf>
      <border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border outline="0">
        <top style="thin">
          <color theme="8" tint="-0.249977111117893"/>
        </top>
      </border>
    </dxf>
    <dxf>
      <border outline="0"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sz val="10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sz val="1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strike val="0"/>
        <outline val="0"/>
        <shadow val="0"/>
        <u val="none"/>
        <sz val="1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/>
      </border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1" hidden="0"/>
    </dxf>
    <dxf>
      <border outline="0">
        <top style="thin">
          <color theme="8" tint="-0.249977111117893"/>
        </top>
      </border>
    </dxf>
    <dxf>
      <font>
        <strike val="0"/>
        <outline val="0"/>
        <shadow val="0"/>
        <u val="none"/>
        <sz val="10"/>
        <name val="Arial"/>
        <scheme val="none"/>
      </font>
      <protection locked="0" hidden="0"/>
    </dxf>
    <dxf>
      <border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protection locked="0" hidden="0"/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numFmt numFmtId="164" formatCode="0.00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sz val="10"/>
        <name val="Arial"/>
        <scheme val="none"/>
      </font>
      <numFmt numFmtId="3" formatCode="#,##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theme="7" tint="0.59999389629810485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theme="7" tint="0.59999389629810485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theme="7" tint="0.59999389629810485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theme="7" tint="0.59999389629810485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sz val="10"/>
        <name val="Arial"/>
        <scheme val="none"/>
      </font>
      <numFmt numFmtId="4" formatCode="#,##0.00"/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8" tint="0.59999389629810485"/>
        </patternFill>
      </fill>
      <border diagonalUp="0" diagonalDown="0" outline="0">
        <left/>
        <right/>
        <top style="thin">
          <color theme="8" tint="-0.249977111117893"/>
        </top>
        <bottom/>
      </border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solid">
          <fgColor indexed="64"/>
          <bgColor theme="8" tint="0.59999389629810485"/>
        </patternFill>
      </fill>
      <border outline="0">
        <right style="thin">
          <color theme="8" tint="-0.249977111117893"/>
        </right>
      </border>
      <protection locked="1" hidden="0"/>
    </dxf>
    <dxf>
      <border outline="0">
        <top style="thin">
          <color theme="8" tint="-0.249977111117893"/>
        </top>
      </border>
    </dxf>
    <dxf>
      <font>
        <strike val="0"/>
        <outline val="0"/>
        <shadow val="0"/>
        <u val="none"/>
        <sz val="10"/>
        <name val="Arial"/>
        <scheme val="none"/>
      </font>
      <protection locked="0" hidden="0"/>
    </dxf>
    <dxf>
      <border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protection locked="0" hidden="0"/>
    </dxf>
    <dxf>
      <border outline="0">
        <bottom style="thin">
          <color theme="8" tint="-0.2499771111178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4" formatCode="#,##0.00"/>
      <fill>
        <patternFill patternType="solid">
          <fgColor indexed="64"/>
          <bgColor theme="9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numFmt numFmtId="1" formatCode="0"/>
      <fill>
        <patternFill patternType="solid">
          <fgColor indexed="64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numFmt numFmtId="1" formatCode="0"/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" formatCode="#,##0"/>
      <fill>
        <patternFill patternType="solid">
          <fgColor theme="7" tint="0.59999389629810485"/>
          <bgColor theme="7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Arial"/>
        <scheme val="none"/>
      </font>
      <numFmt numFmtId="3" formatCode="#,##0"/>
      <fill>
        <patternFill patternType="lightDown">
          <fgColor theme="1"/>
          <bgColor theme="8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theme="7" tint="0.59999389629810485"/>
          <bgColor theme="8" tint="0.59999389629810485"/>
        </patternFill>
      </fill>
      <border diagonalUp="0" diagonalDown="0" outline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</font>
    </dxf>
    <dxf>
      <border>
        <top style="thin">
          <color theme="8" tint="-0.249977111117893"/>
        </top>
      </border>
    </dxf>
    <dxf>
      <font>
        <strike val="0"/>
        <outline val="0"/>
        <shadow val="0"/>
        <u val="none"/>
        <sz val="10"/>
        <name val="Arial"/>
        <scheme val="none"/>
      </font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0" hidden="0"/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protection locked="0" hidden="0"/>
    </dxf>
    <dxf>
      <border>
        <bottom style="thin">
          <color theme="8" tint="-0.249977111117893"/>
        </bottom>
      </border>
    </dxf>
    <dxf>
      <font>
        <strike val="0"/>
        <outline val="0"/>
        <shadow val="0"/>
        <u val="none"/>
        <sz val="10"/>
        <name val="Arial"/>
        <scheme val="none"/>
      </font>
      <border diagonalUp="0" diagonalDown="0" outline="0">
        <left style="thin">
          <color theme="8" tint="-0.249977111117893"/>
        </left>
        <right style="thin">
          <color theme="8" tint="-0.249977111117893"/>
        </right>
        <top/>
        <bottom/>
      </border>
      <protection locked="1" hidden="0"/>
    </dxf>
  </dxfs>
  <tableStyles count="0" defaultTableStyle="TableStyleMedium2" defaultPivotStyle="PivotStyleLight16"/>
  <colors>
    <mruColors>
      <color rgb="FFF2C446"/>
      <color rgb="FF9154D8"/>
      <color rgb="FF38B1FD"/>
      <color rgb="FF004F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CAFOGES-Rohdaten/CaFoGes_20230419_mitRohDaten_Excel_2019v_Final_SchutzDeaktivier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Ein-&amp;Anleitung"/>
      <sheetName val="Eckdaten"/>
      <sheetName val="Scope_1"/>
      <sheetName val="Scope_2"/>
      <sheetName val="Scope_3"/>
      <sheetName val="Ergebnisse"/>
      <sheetName val="EF"/>
      <sheetName val="Quell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N1" t="str">
            <v>Gebiet 0</v>
          </cell>
        </row>
        <row r="2">
          <cell r="N2" t="str">
            <v>Gebiet 1</v>
          </cell>
        </row>
        <row r="3">
          <cell r="N3" t="str">
            <v>Gebiet 2</v>
          </cell>
        </row>
        <row r="4">
          <cell r="N4" t="str">
            <v>Gebiet 3</v>
          </cell>
        </row>
        <row r="5">
          <cell r="N5" t="str">
            <v>Gebiet 4</v>
          </cell>
        </row>
        <row r="6">
          <cell r="N6" t="str">
            <v>Gebiet 5</v>
          </cell>
        </row>
        <row r="7">
          <cell r="N7" t="str">
            <v>Gebiet 6</v>
          </cell>
        </row>
        <row r="8">
          <cell r="N8" t="str">
            <v>Gebiet 7</v>
          </cell>
        </row>
        <row r="9">
          <cell r="N9" t="str">
            <v>Gebiet 8</v>
          </cell>
        </row>
        <row r="10">
          <cell r="N10" t="str">
            <v>Gebiet 9</v>
          </cell>
        </row>
      </sheetData>
      <sheetData sheetId="8" refreshError="1"/>
    </sheetDataSet>
  </externalBook>
</externalLink>
</file>

<file path=xl/tables/table1.xml><?xml version="1.0" encoding="utf-8"?>
<table xmlns="http://schemas.openxmlformats.org/spreadsheetml/2006/main" id="12" name="Hotel_stay_Scope_3" displayName="Hotel_stay_Scope_3" ref="B119:I174" totalsRowCount="1" headerRowDxfId="285" dataDxfId="283" totalsRowDxfId="281" headerRowBorderDxfId="284" tableBorderDxfId="282" totalsRowBorderDxfId="280">
  <tableColumns count="8">
    <tableColumn id="1" name="Land" totalsRowLabel="Summe (Hotelübernachtung)" dataDxfId="279" totalsRowDxfId="278"/>
    <tableColumn id="2" name="-" dataDxfId="277" totalsRowDxfId="276"/>
    <tableColumn id="3" name="Anzahl der Übernachtungen" dataDxfId="275" totalsRowDxfId="274"/>
    <tableColumn id="4" name="--" dataDxfId="273" totalsRowDxfId="272"/>
    <tableColumn id="6" name="Emissionsfaktor _x000a_(kg CO2e / Nacht)" dataDxfId="271" totalsRowDxfId="270"/>
    <tableColumn id="5" name="---" dataDxfId="269" totalsRowDxfId="268"/>
    <tableColumn id="7" name="Ergebnis _x000a_(kg CO2e / Jahr)" totalsRowFunction="custom" dataDxfId="267" totalsRowDxfId="266">
      <calculatedColumnFormula>D120*F120</calculatedColumnFormula>
      <totalsRowFormula>SUM(H120:H173)</totalsRowFormula>
    </tableColumn>
    <tableColumn id="8" name="Quelle: CAFOGES" dataDxfId="265" totalsRowDxfId="264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1" name="pat_notf_heli" displayName="pat_notf_heli" ref="B20:J22" totalsRowCount="1" headerRowDxfId="130" dataDxfId="129" totalsRowDxfId="127" tableBorderDxfId="128">
  <autoFilter ref="B20:J2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Flugzeugtyp" totalsRowLabel="Summe (bodengebundene Notfallkontakte)" dataDxfId="126" totalsRowDxfId="24"/>
    <tableColumn id="2" name="Erläuterung Flugzeugtyp" dataDxfId="125" totalsRowDxfId="23"/>
    <tableColumn id="3" name="Anzahl (Notfallpatienten)" totalsRowFunction="sum" dataDxfId="124" totalsRowDxfId="22"/>
    <tableColumn id="4" name="Annahme Entfernung One-Way [km]" dataDxfId="123" totalsRowDxfId="21"/>
    <tableColumn id="5" name="Gesamte Distanz _x000a_[Pkm / Jahr]" dataDxfId="122" totalsRowDxfId="20">
      <calculatedColumnFormula>E21*pat_notf_heli[[#This Row],[Anzahl (Notfallpatienten)]]</calculatedColumnFormula>
    </tableColumn>
    <tableColumn id="6" name="Emissionsfaktor _x000a_[kg CO2e / Pkm]" dataDxfId="121" totalsRowDxfId="19"/>
    <tableColumn id="7" name="Ergebnis _x000a_[kg CO2e / Jahr]" totalsRowFunction="sum" dataDxfId="120" totalsRowDxfId="18">
      <calculatedColumnFormula>pat_notf_heli[[#This Row],[Gesamte Distanz 
'[Pkm / Jahr']]]*pat_notf_heli[[#This Row],[Emissionsfaktor 
'[kg CO2e / Pkm']]]</calculatedColumnFormula>
    </tableColumn>
    <tableColumn id="8" name="Annahmen zu Entfernungen und Verbräuchen" dataDxfId="119" totalsRowDxfId="17"/>
    <tableColumn id="9" name="Quelle" dataDxfId="118" totalsRowDxfId="16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27" name="Tabelle27" displayName="Tabelle27" ref="B27:M37" totalsRowShown="0" headerRowDxfId="117" dataDxfId="116">
  <autoFilter ref="B27:M37"/>
  <tableColumns count="12">
    <tableColumn id="1" name="PLZ-Bereich" dataDxfId="115"/>
    <tableColumn id="2" name="Gebiet 0" dataDxfId="114"/>
    <tableColumn id="3" name="Gebiet 1" dataDxfId="113"/>
    <tableColumn id="4" name="Gebiet 2" dataDxfId="112"/>
    <tableColumn id="5" name="Gebiet 3" dataDxfId="111"/>
    <tableColumn id="6" name="Gebiet 4" dataDxfId="110"/>
    <tableColumn id="7" name="Gebiet 5" dataDxfId="109"/>
    <tableColumn id="8" name="Gebiet 6" dataDxfId="108"/>
    <tableColumn id="9" name="Gebiet 7" dataDxfId="107"/>
    <tableColumn id="10" name="Gebiet 8" dataDxfId="106"/>
    <tableColumn id="11" name="Gebiet 9" dataDxfId="105"/>
    <tableColumn id="12" name="PLZ-Bereich: Zentrale Stadt" dataDxfId="104"/>
  </tableColumns>
  <tableStyleInfo name="TableStyleLight4" showFirstColumn="0" showLastColumn="0" showRowStripes="1" showColumnStripes="0"/>
</table>
</file>

<file path=xl/tables/table12.xml><?xml version="1.0" encoding="utf-8"?>
<table xmlns="http://schemas.openxmlformats.org/spreadsheetml/2006/main" id="28" name="pat_inl_fahrten" displayName="pat_inl_fahrten" ref="B42:G53" totalsRowCount="1" headerRowDxfId="103" dataDxfId="101" totalsRowDxfId="99" headerRowBorderDxfId="102" tableBorderDxfId="100" totalsRowBorderDxfId="98">
  <tableColumns count="6">
    <tableColumn id="1" name="Postleitzahlbereich" totalsRowLabel="Summe" dataDxfId="97" totalsRowDxfId="15"/>
    <tableColumn id="6" name="-" dataDxfId="96" totalsRowDxfId="14"/>
    <tableColumn id="2" name="Anzahl Patienten_x000a_(Regelkontakte)" totalsRowFunction="sum" dataDxfId="95" totalsRowDxfId="13"/>
    <tableColumn id="3" name="Anteil [%]" totalsRowFunction="sum" dataDxfId="94" totalsRowDxfId="12">
      <calculatedColumnFormula>IFERROR(pat_inl_fahrten[[#This Row],[Anzahl Patienten
(Regelkontakte)]]/pat_inl_fahrten[[#Totals],[Anzahl Patienten
(Regelkontakte)]],"k.A.")</calculatedColumnFormula>
    </tableColumn>
    <tableColumn id="4" name="Angenommene Entfernung _x000a_One-way [km]" dataDxfId="93" totalsRowDxfId="11">
      <calculatedColumnFormula>INDEX(OFFSET(Tabelle27[PLZ-Bereich],0,MATCH(pat_inl_fahrten[[#This Row],[Postleitzahlbereich]],Tabelle27[PLZ-Bereich],0)),MATCH(D40,C27:L27,0))</calculatedColumnFormula>
    </tableColumn>
    <tableColumn id="5" name="Gesamtdistanzen Regelkontakte [Pkm]" totalsRowFunction="sum" dataDxfId="92" totalsRowDxfId="10">
      <calculatedColumnFormula>pat_inl_fahrten[[#This Row],[Anzahl Patienten
(Regelkontakte)]]*pat_inl_fahrten[[#This Row],[Angenommene Entfernung 
One-way '[km']]]*2</calculatedColumn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9" name="Pat_ausl_ergeb" displayName="Pat_ausl_ergeb" ref="B120:J126" totalsRowCount="1" headerRowDxfId="91" dataDxfId="89" totalsRowDxfId="88" headerRowBorderDxfId="90">
  <autoFilter ref="B120:J12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Herkundskontinent" totalsRowLabel="Ergebnis" dataDxfId="87" totalsRowDxfId="86"/>
    <tableColumn id="2" name="Zielland" dataDxfId="85" totalsRowDxfId="84"/>
    <tableColumn id="3" name="Anzahl Flüge" totalsRowFunction="sum" dataDxfId="83" totalsRowDxfId="82">
      <calculatedColumnFormula>SUMIFS(Pat_ausl_Flüge[Anzahl Patienten
(Regelkontakte)],Pat_ausl_Flüge[Region (Zuordnung)],Pat_ausl_ergeb[[#This Row],[Zielland]])</calculatedColumnFormula>
    </tableColumn>
    <tableColumn id="4" name="Annahme Entfernung One-Way [km]" dataDxfId="81" totalsRowDxfId="80"/>
    <tableColumn id="5" name="Gesamte Distanz _x000a_[Pkm / Jahr]" dataDxfId="79" totalsRowDxfId="78">
      <calculatedColumnFormula>Pat_ausl_ergeb[[#This Row],[Anzahl Flüge]]*Pat_ausl_ergeb[[#This Row],[Annahme Entfernung One-Way '[km']]]*2</calculatedColumnFormula>
    </tableColumn>
    <tableColumn id="6" name="Emissionsfaktor _x000a_[kg CO2e / Pkm]" dataDxfId="77" totalsRowDxfId="76"/>
    <tableColumn id="7" name="Ergebnis _x000a_[kg CO2e / Jahr]" totalsRowFunction="sum" dataDxfId="75" totalsRowDxfId="74">
      <calculatedColumnFormula>Pat_ausl_ergeb[[#This Row],[Gesamte Distanz 
'[Pkm / Jahr']]]*Pat_ausl_ergeb[[#This Row],[Emissionsfaktor 
'[kg CO2e / Pkm']]]</calculatedColumnFormula>
    </tableColumn>
    <tableColumn id="8" name="Annahmen zu Entfernungen" dataDxfId="73" totalsRowDxfId="72"/>
    <tableColumn id="9" name="Quelle" totalsRowFunction="count" dataDxfId="71" totalsRowDxfId="7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30" name="Pat_ausl_Flüge" displayName="Pat_ausl_Flüge" ref="B63:E117" totalsRowShown="0" headerRowDxfId="69" dataDxfId="68">
  <autoFilter ref="B63:E117"/>
  <tableColumns count="4">
    <tableColumn id="1" name="Land (Wohnsitz)" dataDxfId="67"/>
    <tableColumn id="4" name="Region (Zuordnung)" dataDxfId="66"/>
    <tableColumn id="3" name="Anzahl Patienten_x000a_(Regelkontakte)" dataDxfId="65"/>
    <tableColumn id="2" name="Zusatzinfo" dataDxfId="64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4" name="pat_inl_ergeb" displayName="pat_inl_ergeb" ref="B56:J58" totalsRowCount="1" headerRowBorderDxfId="63" tableBorderDxfId="62">
  <autoFilter ref="B56:J5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Verkehrsmittel" totalsRowLabel="Ergebnis" dataDxfId="61" totalsRowDxfId="60"/>
    <tableColumn id="2" name="-" dataDxfId="59" totalsRowDxfId="58"/>
    <tableColumn id="3" name="Distanzen Regelkontakte [km]" dataDxfId="57" totalsRowDxfId="56">
      <calculatedColumnFormula>pat_inl_fahrten[[#Totals],[Gesamtdistanzen Regelkontakte '[Pkm']]]</calculatedColumnFormula>
    </tableColumn>
    <tableColumn id="4" name="Emissionsfaktor PKW_x000a_[kg CO2e / km]" dataDxfId="55" totalsRowDxfId="54"/>
    <tableColumn id="5" name="--" dataDxfId="53" totalsRowDxfId="52"/>
    <tableColumn id="6" name="---" dataDxfId="51" totalsRowDxfId="50"/>
    <tableColumn id="7" name="Ergebnis _x000a_[kg CO2e / Jahr]" totalsRowFunction="sum" dataDxfId="49" totalsRowDxfId="48">
      <calculatedColumnFormula>D57*E57</calculatedColumnFormula>
    </tableColumn>
    <tableColumn id="8" name="Annahmen zu Entfernungen und Verbräuchen" dataDxfId="47" totalsRowDxfId="46"/>
    <tableColumn id="9" name="Quelle" totalsRowFunction="count" dataDxfId="45" totalsRowDxfId="44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1" name="pat_mobi_gesamt" displayName="pat_mobi_gesamt" ref="B131:H135" totalsRowCount="1" headerRowDxfId="43" dataDxfId="41" headerRowBorderDxfId="42" tableBorderDxfId="40" totalsRowBorderDxfId="39">
  <autoFilter ref="B131:H1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Bereich" totalsRowLabel="THG-Emissionen durch Patient*innen-Mobilität (gesamt)" dataDxfId="38" totalsRowDxfId="37"/>
    <tableColumn id="2" name="Beschreibung" dataDxfId="36" totalsRowDxfId="35"/>
    <tableColumn id="3" name="-" dataDxfId="34" totalsRowDxfId="33"/>
    <tableColumn id="4" name="--" dataDxfId="32" totalsRowDxfId="31"/>
    <tableColumn id="5" name="---" dataDxfId="30" totalsRowDxfId="29"/>
    <tableColumn id="6" name="----" dataDxfId="28" totalsRowDxfId="27"/>
    <tableColumn id="7" name="Ergebnis _x000a_[kg CO2e / Jahr]" totalsRowFunction="sum" dataDxfId="26" totalsRowDxfId="2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4" name="Landreisen_Scope3" displayName="Landreisen_Scope3" ref="B92:J95" totalsRowCount="1" headerRowDxfId="263" dataDxfId="261" totalsRowDxfId="259" headerRowBorderDxfId="262" tableBorderDxfId="260" totalsRowBorderDxfId="258">
  <tableColumns count="9">
    <tableColumn id="1" name="Bahnreisen" totalsRowLabel="Summe (Bahnreisen)" dataDxfId="257" totalsRowDxfId="256"/>
    <tableColumn id="2" name="Typ" dataDxfId="255" totalsRowDxfId="254"/>
    <tableColumn id="5" name="Anzahl Reisen" totalsRowFunction="custom" dataDxfId="253" totalsRowDxfId="252">
      <totalsRowFormula>SUBTOTAL(109,Landreisen_Scope3[Bahnreisen])</totalsRowFormula>
    </tableColumn>
    <tableColumn id="4" name="Annahme Entfernung _x000a_(km / Jahr)" totalsRowFunction="custom" dataDxfId="251" totalsRowDxfId="250">
      <totalsRowFormula>SUBTOTAL(109,Landreisen_Scope3[Typ])</totalsRowFormula>
    </tableColumn>
    <tableColumn id="3" name="Hin- &amp; Rückfahrt (km / Jahr)" totalsRowFunction="custom" dataDxfId="249" totalsRowDxfId="248">
      <calculatedColumnFormula>E93*2</calculatedColumnFormula>
      <totalsRowFormula>SUM(Landreisen_Scope3[Anzahl Reisen])</totalsRowFormula>
    </tableColumn>
    <tableColumn id="6" name="Emissionsfaktor _x000a_(kg CO2e / Pkm) " dataDxfId="247" totalsRowDxfId="246"/>
    <tableColumn id="7" name="Ergebnis _x000a_(kg CO2e / Jahr)" totalsRowFunction="sum" dataDxfId="245" totalsRowDxfId="244">
      <calculatedColumnFormula>Landreisen_Scope3[[#This Row],[Anzahl Reisen]]*Landreisen_Scope3[[#This Row],[Hin- &amp; Rückfahrt (km / Jahr)]]*Landreisen_Scope3[[#This Row],[Emissionsfaktor 
(kg CO2e / Pkm) ]]</calculatedColumnFormula>
    </tableColumn>
    <tableColumn id="8" name="Annahmen zu Entfernungen" dataDxfId="243" totalsRowDxfId="242"/>
    <tableColumn id="9" name="Quelle" dataDxfId="241" totalsRowDxfId="2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Flugreisen_Scop33" displayName="Flugreisen_Scop33" ref="B80:J87" totalsRowCount="1" headerRowDxfId="239" dataDxfId="237" totalsRowDxfId="235" headerRowBorderDxfId="238" tableBorderDxfId="236" totalsRowBorderDxfId="234">
  <tableColumns count="9">
    <tableColumn id="1" name="Flugreisen" totalsRowLabel="Summe (Flugreisen)" dataDxfId="233" totalsRowDxfId="232"/>
    <tableColumn id="8" name="Zielland" dataDxfId="231" totalsRowDxfId="230"/>
    <tableColumn id="2" name="Anzahl Flüge" totalsRowFunction="sum" dataDxfId="229" totalsRowDxfId="228">
      <calculatedColumnFormula>SUMIFS(Tabelle37[Anzahl Flüge],Tabelle37[Region (Zuordnung)],Flugreisen_Scop33[[#This Row],[Zielland]])</calculatedColumnFormula>
    </tableColumn>
    <tableColumn id="6" name="Annahme Entfernung _x000a_(km / Jahr)" dataDxfId="227" totalsRowDxfId="226"/>
    <tableColumn id="5" name="Hin- &amp; Rückflug (km / Jahr)" totalsRowFunction="custom" dataDxfId="225" totalsRowDxfId="224">
      <calculatedColumnFormula>D81*Flugreisen_Scop33[[#This Row],[Annahme Entfernung 
(km / Jahr)]]*2</calculatedColumnFormula>
      <totalsRowFormula>SUM(Flugreisen_Scop33[Hin- &amp; Rückflug (km / Jahr)])</totalsRowFormula>
    </tableColumn>
    <tableColumn id="3" name="Emissionsfaktor _x000a_(kg CO2e / Pkm) " dataDxfId="223" totalsRowDxfId="222"/>
    <tableColumn id="4" name="Ergebnis _x000a_(kg CO2e / Jahr)" totalsRowFunction="sum" dataDxfId="221" totalsRowDxfId="220">
      <calculatedColumnFormula>+F81*G81</calculatedColumnFormula>
    </tableColumn>
    <tableColumn id="7" name="Annahmen zu Entfernungen" dataDxfId="219" totalsRowDxfId="218"/>
    <tableColumn id="9" name="Quelle" dataDxfId="217" totalsRowDxfId="21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le37" displayName="Tabelle37" ref="B20:E75" totalsRowShown="0">
  <autoFilter ref="B20:E75"/>
  <tableColumns count="4">
    <tableColumn id="1" name="Zielland"/>
    <tableColumn id="4" name="Region (Zuordnung)"/>
    <tableColumn id="3" name="Anzahl Flüge"/>
    <tableColumn id="2" name="Beschreibung"/>
  </tableColumns>
  <tableStyleInfo name="TableStyleLight4" showFirstColumn="0" showLastColumn="0" showRowStripes="1" showColumnStripes="0"/>
</table>
</file>

<file path=xl/tables/table5.xml><?xml version="1.0" encoding="utf-8"?>
<table xmlns="http://schemas.openxmlformats.org/spreadsheetml/2006/main" id="7" name="Tabelle7" displayName="Tabelle7" ref="B107:J111" totalsRowCount="1" headerRowDxfId="215" headerRowBorderDxfId="214" tableBorderDxfId="213" totalsRowBorderDxfId="212">
  <autoFilter ref="B107:J1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Landreisen" totalsRowLabel="Summe Dienstreisen (zur Eingabe bei ecocockpit)" totalsRowDxfId="211"/>
    <tableColumn id="2" name="-" dataDxfId="210" totalsRowDxfId="209"/>
    <tableColumn id="3" name="Anzahl" dataDxfId="208" totalsRowDxfId="207"/>
    <tableColumn id="4" name="Einheit" totalsRowDxfId="206"/>
    <tableColumn id="5" name="--" dataDxfId="205" totalsRowDxfId="204"/>
    <tableColumn id="6" name="---" dataDxfId="203" totalsRowDxfId="202"/>
    <tableColumn id="7" name="Ergebnis _x000a_(kg CO2e / Jahr)" totalsRowFunction="sum" dataDxfId="201" totalsRowDxfId="200"/>
    <tableColumn id="8" name="Annahmen zu Entfernungen" dataDxfId="199" totalsRowDxfId="198"/>
    <tableColumn id="9" name="Quelle" dataDxfId="197" totalsRowDxfId="196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8" name="Tabelle8" displayName="Tabelle8" ref="B100:J102" totalsRowCount="1" headerRowDxfId="195" headerRowBorderDxfId="194" tableBorderDxfId="193">
  <autoFilter ref="B100:J10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Landreisen" totalsRowLabel="Summe (Privat-PWK)" totalsRowDxfId="192"/>
    <tableColumn id="2" name="Typ" totalsRowDxfId="191"/>
    <tableColumn id="3" name="Gefahrene Kilometer" totalsRowDxfId="190"/>
    <tableColumn id="4" name="Annahme Entfernung _x000a_(km / Jahr)" dataDxfId="189" totalsRowDxfId="188"/>
    <tableColumn id="5" name="Hin- &amp; Rückfahrt (km / Jahr)" dataDxfId="187" totalsRowDxfId="186"/>
    <tableColumn id="6" name="Emissionsfaktor _x000a_(kg CO2e / Pkm) " totalsRowDxfId="185"/>
    <tableColumn id="7" name="Ergebnis _x000a_(kg CO2e / Jahr)" totalsRowFunction="sum" dataDxfId="184" totalsRowDxfId="183">
      <calculatedColumnFormula>Tabelle8[Gefahrene Kilometer]*Tabelle8[Emissionsfaktor 
(kg CO2e / Pkm) ]</calculatedColumnFormula>
    </tableColumn>
    <tableColumn id="8" name="Annahmen zu Entfernungen" totalsRowDxfId="182"/>
    <tableColumn id="9" name="Quelle" totalsRowDxfId="18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3" name="Geschäftsreisen_Gesamt" displayName="Geschäftsreisen_Gesamt" ref="B181:H186" totalsRowCount="1" headerRowDxfId="180" dataDxfId="178" headerRowBorderDxfId="179" tableBorderDxfId="177" totalsRowBorderDxfId="176">
  <autoFilter ref="B181:H18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Bereich" totalsRowLabel="THG-Emissionen durch Geschäftsreisen (gesamt)" dataDxfId="175" totalsRowDxfId="174"/>
    <tableColumn id="2" name="Beschreibung" dataDxfId="173" totalsRowDxfId="172"/>
    <tableColumn id="3" name="-" dataDxfId="171" totalsRowDxfId="170"/>
    <tableColumn id="4" name="--" dataDxfId="169" totalsRowDxfId="168"/>
    <tableColumn id="5" name="---" dataDxfId="167" totalsRowDxfId="166"/>
    <tableColumn id="6" name="----" dataDxfId="165" totalsRowDxfId="164"/>
    <tableColumn id="7" name="Ergebnis _x000a_[kg CO2e / Jahr]" totalsRowFunction="sum" dataDxfId="163" totalsRowDxfId="162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1" name="MA_mobi_gesamt" displayName="MA_mobi_gesamt" ref="B68:F72" totalsRowCount="1" headerRowDxfId="160" dataDxfId="158" headerRowBorderDxfId="159" tableBorderDxfId="157" totalsRowBorderDxfId="156">
  <tableColumns count="5">
    <tableColumn id="5" name="Verkehrmittel" totalsRowLabel="Summe (Mitarbeitendenmobilität)" dataDxfId="155" totalsRowDxfId="154"/>
    <tableColumn id="1" name="-" dataDxfId="153" totalsRowDxfId="152"/>
    <tableColumn id="2" name="Gesamte Entfernung _x000a_(Hin-&amp; Zurück): Pkm / Jahr" totalsRowFunction="sum" dataDxfId="151" totalsRowDxfId="150">
      <calculatedColumnFormula>+G52</calculatedColumnFormula>
    </tableColumn>
    <tableColumn id="3" name="Emissionsfaktor _x000a_(kg CO2e / Pkm )" dataDxfId="149" totalsRowDxfId="148"/>
    <tableColumn id="4" name="Ergebnis _x000a_(kg CO2e / Jahr)" totalsRowFunction="sum" dataDxfId="147" totalsRowDxfId="146">
      <calculatedColumnFormula>IFERROR(MA_mobi_gesamt[[#This Row],[Gesamte Entfernung 
(Hin-&amp; Zurück): Pkm / Jahr]]*MA_mobi_gesamt[[#This Row],[Emissionsfaktor 
(kg CO2e / Pkm )]]/1000,"k.A.")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Pendelverkehr" displayName="Pendelverkehr" ref="B38:K46" totalsRowCount="1" headerRowDxfId="145" dataDxfId="143" headerRowBorderDxfId="144" tableBorderDxfId="142" totalsRowBorderDxfId="141">
  <autoFilter ref="B38:K4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10">
    <tableColumn id="1" name="Entfernung Wohnort" totalsRowLabel="Ergebnis" dataDxfId="140" totalsRowDxfId="9"/>
    <tableColumn id="2" name="Mitarbeitendenmobilität" dataDxfId="139" totalsRowDxfId="8"/>
    <tableColumn id="3" name="Aufteilung in (%) der Mitarbeiter*innen" totalsRowFunction="sum" dataDxfId="138" totalsRowDxfId="7"/>
    <tableColumn id="4" name="Angenomme Entfernung _x000a_(One-way) " totalsRowLabel="=&gt; hier sollten 100% stehen!" dataDxfId="137" totalsRowDxfId="6"/>
    <tableColumn id="5" name="-" dataDxfId="136" totalsRowDxfId="5"/>
    <tableColumn id="6" name="Zufußgehen %" dataDxfId="135" totalsRowDxfId="4"/>
    <tableColumn id="7" name="Fahrrad %" dataDxfId="134" totalsRowDxfId="3"/>
    <tableColumn id="8" name="E-Bike %" dataDxfId="133" totalsRowDxfId="2"/>
    <tableColumn id="9" name="ÖPNV %" dataDxfId="132" totalsRowDxfId="1"/>
    <tableColumn id="10" name="Pkw %" dataDxfId="13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6.xml"/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F8" sqref="F8:F12"/>
    </sheetView>
  </sheetViews>
  <sheetFormatPr baseColWidth="10" defaultColWidth="11.42578125" defaultRowHeight="12.75" x14ac:dyDescent="0.2"/>
  <cols>
    <col min="1" max="1" width="3.7109375" style="59" customWidth="1"/>
    <col min="2" max="2" width="10.5703125" style="59" bestFit="1" customWidth="1"/>
    <col min="3" max="3" width="32.5703125" style="59" bestFit="1" customWidth="1"/>
    <col min="4" max="4" width="25.7109375" style="59" bestFit="1" customWidth="1"/>
    <col min="5" max="5" width="16.85546875" style="59" bestFit="1" customWidth="1"/>
    <col min="6" max="6" width="21" style="115" customWidth="1"/>
    <col min="7" max="7" width="18.28515625" style="115" customWidth="1"/>
    <col min="8" max="8" width="48.85546875" style="59" customWidth="1"/>
    <col min="9" max="9" width="3.7109375" style="59" customWidth="1"/>
    <col min="10" max="10" width="5.7109375" style="59" customWidth="1"/>
    <col min="11" max="16384" width="11.42578125" style="59"/>
  </cols>
  <sheetData>
    <row r="1" spans="1:10" ht="12.75" customHeight="1" thickBot="1" x14ac:dyDescent="0.25"/>
    <row r="2" spans="1:10" ht="12.75" customHeight="1" thickBot="1" x14ac:dyDescent="0.25">
      <c r="A2" s="301" t="s">
        <v>120</v>
      </c>
      <c r="B2" s="302"/>
      <c r="C2" s="302"/>
      <c r="D2" s="302"/>
      <c r="E2" s="302"/>
      <c r="F2" s="302"/>
      <c r="G2" s="302"/>
      <c r="H2" s="302"/>
      <c r="I2" s="302"/>
      <c r="J2" s="303"/>
    </row>
    <row r="3" spans="1:10" ht="12.75" customHeight="1" thickBot="1" x14ac:dyDescent="0.25">
      <c r="A3" s="58"/>
      <c r="B3" s="304" t="s">
        <v>253</v>
      </c>
      <c r="C3" s="304"/>
      <c r="D3" s="304"/>
      <c r="E3" s="304"/>
      <c r="F3" s="304"/>
      <c r="G3" s="304"/>
      <c r="H3" s="304"/>
      <c r="J3" s="200"/>
    </row>
    <row r="4" spans="1:10" ht="12.75" customHeight="1" x14ac:dyDescent="0.2">
      <c r="A4" s="58"/>
      <c r="B4" s="295" t="s">
        <v>152</v>
      </c>
      <c r="C4" s="296"/>
      <c r="D4" s="296"/>
      <c r="E4" s="296"/>
      <c r="F4" s="296"/>
      <c r="G4" s="296"/>
      <c r="H4" s="297"/>
      <c r="J4" s="200"/>
    </row>
    <row r="5" spans="1:10" ht="12.75" customHeight="1" x14ac:dyDescent="0.2">
      <c r="A5" s="58"/>
      <c r="B5" s="298"/>
      <c r="C5" s="299"/>
      <c r="D5" s="299"/>
      <c r="E5" s="299"/>
      <c r="F5" s="299"/>
      <c r="G5" s="299"/>
      <c r="H5" s="300"/>
      <c r="J5" s="200"/>
    </row>
    <row r="6" spans="1:10" ht="12.75" customHeight="1" x14ac:dyDescent="0.2">
      <c r="A6" s="58"/>
      <c r="B6" s="298"/>
      <c r="C6" s="299"/>
      <c r="D6" s="299"/>
      <c r="E6" s="299"/>
      <c r="F6" s="299"/>
      <c r="G6" s="299"/>
      <c r="H6" s="300"/>
      <c r="J6" s="200"/>
    </row>
    <row r="7" spans="1:10" ht="12.75" customHeight="1" x14ac:dyDescent="0.2">
      <c r="A7" s="58"/>
      <c r="B7" s="204"/>
      <c r="C7" s="305" t="s">
        <v>148</v>
      </c>
      <c r="D7" s="305"/>
      <c r="F7" s="4" t="s">
        <v>121</v>
      </c>
      <c r="G7" s="4" t="s">
        <v>159</v>
      </c>
      <c r="H7" s="60"/>
      <c r="J7" s="200"/>
    </row>
    <row r="8" spans="1:10" ht="12.75" customHeight="1" x14ac:dyDescent="0.2">
      <c r="A8" s="58"/>
      <c r="B8" s="204"/>
      <c r="C8" s="17"/>
      <c r="D8" s="31" t="s">
        <v>123</v>
      </c>
      <c r="F8" s="306" t="s">
        <v>124</v>
      </c>
      <c r="G8" s="308" t="s">
        <v>124</v>
      </c>
      <c r="H8" s="60"/>
      <c r="J8" s="200"/>
    </row>
    <row r="9" spans="1:10" ht="12.75" customHeight="1" x14ac:dyDescent="0.2">
      <c r="A9" s="58"/>
      <c r="B9" s="204"/>
      <c r="C9" s="18"/>
      <c r="D9" s="32" t="s">
        <v>125</v>
      </c>
      <c r="F9" s="306"/>
      <c r="G9" s="308"/>
      <c r="H9" s="60"/>
      <c r="J9" s="200"/>
    </row>
    <row r="10" spans="1:10" ht="12.75" customHeight="1" x14ac:dyDescent="0.2">
      <c r="A10" s="58"/>
      <c r="B10" s="204"/>
      <c r="C10" s="19"/>
      <c r="D10" s="33" t="s">
        <v>126</v>
      </c>
      <c r="F10" s="306"/>
      <c r="G10" s="308"/>
      <c r="H10" s="60"/>
      <c r="J10" s="200"/>
    </row>
    <row r="11" spans="1:10" ht="12.75" customHeight="1" x14ac:dyDescent="0.2">
      <c r="A11" s="58"/>
      <c r="B11" s="204"/>
      <c r="C11" s="310" t="s">
        <v>145</v>
      </c>
      <c r="D11" s="310"/>
      <c r="F11" s="306"/>
      <c r="G11" s="308"/>
      <c r="H11" s="60"/>
      <c r="J11" s="200"/>
    </row>
    <row r="12" spans="1:10" ht="12.75" customHeight="1" thickBot="1" x14ac:dyDescent="0.25">
      <c r="A12" s="58"/>
      <c r="B12" s="205"/>
      <c r="C12" s="61"/>
      <c r="D12" s="5"/>
      <c r="E12" s="61"/>
      <c r="F12" s="307"/>
      <c r="G12" s="309"/>
      <c r="H12" s="127" t="s">
        <v>147</v>
      </c>
      <c r="J12" s="200"/>
    </row>
    <row r="13" spans="1:10" ht="12.75" customHeight="1" x14ac:dyDescent="0.2">
      <c r="A13" s="58"/>
      <c r="F13" s="59"/>
      <c r="G13" s="59"/>
      <c r="J13" s="200"/>
    </row>
    <row r="14" spans="1:10" ht="12.75" customHeight="1" x14ac:dyDescent="0.2">
      <c r="A14" s="58"/>
      <c r="F14" s="59"/>
      <c r="G14" s="59"/>
      <c r="J14" s="200"/>
    </row>
    <row r="15" spans="1:10" ht="5.0999999999999996" customHeight="1" thickBot="1" x14ac:dyDescent="0.25">
      <c r="A15" s="58"/>
      <c r="F15" s="62"/>
      <c r="G15" s="62"/>
      <c r="J15" s="200"/>
    </row>
    <row r="16" spans="1:10" ht="13.5" thickBot="1" x14ac:dyDescent="0.25">
      <c r="A16" s="58"/>
      <c r="B16" s="311" t="s">
        <v>127</v>
      </c>
      <c r="C16" s="312"/>
      <c r="D16" s="312"/>
      <c r="E16" s="312"/>
      <c r="F16" s="312"/>
      <c r="G16" s="312"/>
      <c r="H16" s="313"/>
      <c r="J16" s="200"/>
    </row>
    <row r="17" spans="1:10" ht="13.5" thickBot="1" x14ac:dyDescent="0.25">
      <c r="A17" s="58"/>
      <c r="B17" s="311" t="s">
        <v>128</v>
      </c>
      <c r="C17" s="312"/>
      <c r="D17" s="312"/>
      <c r="E17" s="313"/>
      <c r="F17" s="311" t="s">
        <v>154</v>
      </c>
      <c r="G17" s="312"/>
      <c r="H17" s="313"/>
      <c r="J17" s="200"/>
    </row>
    <row r="18" spans="1:10" x14ac:dyDescent="0.2">
      <c r="A18" s="58"/>
      <c r="B18" s="314" t="s">
        <v>129</v>
      </c>
      <c r="C18" s="316" t="s">
        <v>130</v>
      </c>
      <c r="D18" s="316" t="s">
        <v>157</v>
      </c>
      <c r="E18" s="318" t="s">
        <v>156</v>
      </c>
      <c r="F18" s="320" t="s">
        <v>131</v>
      </c>
      <c r="G18" s="321"/>
      <c r="H18" s="293" t="s">
        <v>273</v>
      </c>
      <c r="J18" s="200"/>
    </row>
    <row r="19" spans="1:10" ht="13.5" thickBot="1" x14ac:dyDescent="0.25">
      <c r="A19" s="58"/>
      <c r="B19" s="315"/>
      <c r="C19" s="317"/>
      <c r="D19" s="317"/>
      <c r="E19" s="319"/>
      <c r="F19" s="40" t="s">
        <v>155</v>
      </c>
      <c r="G19" s="41" t="s">
        <v>133</v>
      </c>
      <c r="H19" s="294"/>
      <c r="J19" s="200"/>
    </row>
    <row r="20" spans="1:10" x14ac:dyDescent="0.2">
      <c r="A20" s="58"/>
      <c r="B20" s="206">
        <v>240</v>
      </c>
      <c r="C20" s="20" t="s">
        <v>231</v>
      </c>
      <c r="D20" s="207">
        <v>1.454</v>
      </c>
      <c r="E20" s="208">
        <f>B20*D20</f>
        <v>348.96</v>
      </c>
      <c r="F20" s="209"/>
      <c r="G20" s="34">
        <f>E20*F20/1000</f>
        <v>0</v>
      </c>
      <c r="H20" s="38" t="s">
        <v>146</v>
      </c>
      <c r="J20" s="200"/>
    </row>
    <row r="21" spans="1:10" x14ac:dyDescent="0.2">
      <c r="A21" s="58"/>
      <c r="B21" s="210">
        <v>250</v>
      </c>
      <c r="C21" s="21" t="s">
        <v>232</v>
      </c>
      <c r="D21" s="211">
        <v>1.504</v>
      </c>
      <c r="E21" s="212">
        <f t="shared" ref="E21:E22" si="0">B21*D21</f>
        <v>376</v>
      </c>
      <c r="F21" s="213"/>
      <c r="G21" s="35">
        <f>E21*F21/1000</f>
        <v>0</v>
      </c>
      <c r="H21" s="38" t="s">
        <v>146</v>
      </c>
      <c r="J21" s="200"/>
    </row>
    <row r="22" spans="1:10" ht="13.5" thickBot="1" x14ac:dyDescent="0.25">
      <c r="A22" s="58"/>
      <c r="B22" s="214">
        <v>250</v>
      </c>
      <c r="C22" s="22" t="s">
        <v>233</v>
      </c>
      <c r="D22" s="215">
        <v>1.5329999999999999</v>
      </c>
      <c r="E22" s="216">
        <f t="shared" si="0"/>
        <v>383.25</v>
      </c>
      <c r="F22" s="217"/>
      <c r="G22" s="36">
        <f>E22*F22/1000</f>
        <v>0</v>
      </c>
      <c r="H22" s="39" t="s">
        <v>146</v>
      </c>
      <c r="J22" s="200"/>
    </row>
    <row r="23" spans="1:10" x14ac:dyDescent="0.2">
      <c r="D23" s="13"/>
      <c r="F23" s="4"/>
      <c r="G23" s="4"/>
      <c r="H23" s="109"/>
      <c r="J23" s="200"/>
    </row>
    <row r="24" spans="1:10" ht="5.0999999999999996" customHeight="1" thickBot="1" x14ac:dyDescent="0.25">
      <c r="A24" s="58"/>
      <c r="F24" s="62"/>
      <c r="G24" s="62"/>
      <c r="J24" s="200"/>
    </row>
    <row r="25" spans="1:10" ht="13.5" thickBot="1" x14ac:dyDescent="0.25">
      <c r="A25" s="58"/>
      <c r="B25" s="279" t="s">
        <v>134</v>
      </c>
      <c r="C25" s="280"/>
      <c r="D25" s="280"/>
      <c r="E25" s="280"/>
      <c r="F25" s="280"/>
      <c r="G25" s="280"/>
      <c r="H25" s="281"/>
      <c r="J25" s="200"/>
    </row>
    <row r="26" spans="1:10" ht="13.5" thickBot="1" x14ac:dyDescent="0.25">
      <c r="A26" s="58"/>
      <c r="B26" s="279" t="s">
        <v>128</v>
      </c>
      <c r="C26" s="280"/>
      <c r="D26" s="280"/>
      <c r="E26" s="280"/>
      <c r="F26" s="279" t="s">
        <v>154</v>
      </c>
      <c r="G26" s="280"/>
      <c r="H26" s="281"/>
      <c r="J26" s="200"/>
    </row>
    <row r="27" spans="1:10" ht="13.5" customHeight="1" x14ac:dyDescent="0.2">
      <c r="A27" s="58"/>
      <c r="B27" s="282" t="s">
        <v>135</v>
      </c>
      <c r="C27" s="284" t="s">
        <v>130</v>
      </c>
      <c r="D27" s="286"/>
      <c r="E27" s="287" t="s">
        <v>136</v>
      </c>
      <c r="F27" s="289" t="s">
        <v>131</v>
      </c>
      <c r="G27" s="290"/>
      <c r="H27" s="291" t="s">
        <v>265</v>
      </c>
      <c r="J27" s="200"/>
    </row>
    <row r="28" spans="1:10" ht="13.5" thickBot="1" x14ac:dyDescent="0.25">
      <c r="A28" s="58"/>
      <c r="B28" s="283"/>
      <c r="C28" s="285"/>
      <c r="D28" s="285"/>
      <c r="E28" s="288"/>
      <c r="F28" s="15" t="s">
        <v>132</v>
      </c>
      <c r="G28" s="16" t="s">
        <v>137</v>
      </c>
      <c r="H28" s="292"/>
      <c r="J28" s="200"/>
    </row>
    <row r="29" spans="1:10" x14ac:dyDescent="0.2">
      <c r="A29" s="58"/>
      <c r="B29" s="198">
        <v>2</v>
      </c>
      <c r="C29" s="199" t="s">
        <v>138</v>
      </c>
      <c r="D29" s="2"/>
      <c r="E29" s="276">
        <v>0.51744000000000012</v>
      </c>
      <c r="F29" s="218"/>
      <c r="G29" s="10">
        <f>E29*F29</f>
        <v>0</v>
      </c>
      <c r="H29" s="274" t="s">
        <v>272</v>
      </c>
      <c r="J29" s="200"/>
    </row>
    <row r="30" spans="1:10" x14ac:dyDescent="0.2">
      <c r="A30" s="58"/>
      <c r="B30" s="58">
        <v>5</v>
      </c>
      <c r="C30" s="59" t="s">
        <v>138</v>
      </c>
      <c r="D30" s="2"/>
      <c r="E30" s="277">
        <v>1.2936000000000001</v>
      </c>
      <c r="F30" s="213"/>
      <c r="G30" s="6">
        <f t="shared" ref="G30:G50" si="1">E30*F30</f>
        <v>0</v>
      </c>
      <c r="H30" s="227"/>
      <c r="J30" s="200"/>
    </row>
    <row r="31" spans="1:10" x14ac:dyDescent="0.2">
      <c r="A31" s="58"/>
      <c r="B31" s="219">
        <v>10</v>
      </c>
      <c r="C31" s="220" t="s">
        <v>138</v>
      </c>
      <c r="D31" s="2"/>
      <c r="E31" s="278">
        <v>2.5872000000000002</v>
      </c>
      <c r="F31" s="213"/>
      <c r="G31" s="6">
        <f t="shared" si="1"/>
        <v>0</v>
      </c>
      <c r="H31" s="227"/>
      <c r="J31" s="200"/>
    </row>
    <row r="32" spans="1:10" x14ac:dyDescent="0.2">
      <c r="A32" s="58"/>
      <c r="B32" s="221"/>
      <c r="C32" s="222" t="s">
        <v>139</v>
      </c>
      <c r="D32" s="2"/>
      <c r="E32" s="223">
        <v>0.75</v>
      </c>
      <c r="F32" s="213"/>
      <c r="G32" s="6">
        <f t="shared" si="1"/>
        <v>0</v>
      </c>
      <c r="H32" s="227" t="s">
        <v>266</v>
      </c>
      <c r="J32" s="200"/>
    </row>
    <row r="33" spans="1:10" x14ac:dyDescent="0.2">
      <c r="A33" s="58"/>
      <c r="B33" s="58"/>
      <c r="C33" s="59" t="s">
        <v>139</v>
      </c>
      <c r="D33" s="2"/>
      <c r="E33" s="200">
        <v>1.5</v>
      </c>
      <c r="F33" s="11"/>
      <c r="G33" s="6">
        <f t="shared" si="1"/>
        <v>0</v>
      </c>
      <c r="H33" s="224"/>
      <c r="J33" s="200"/>
    </row>
    <row r="34" spans="1:10" x14ac:dyDescent="0.2">
      <c r="A34" s="58"/>
      <c r="B34" s="58"/>
      <c r="C34" s="59" t="s">
        <v>139</v>
      </c>
      <c r="D34" s="2"/>
      <c r="E34" s="200">
        <v>2.25</v>
      </c>
      <c r="F34" s="213"/>
      <c r="G34" s="6">
        <f t="shared" si="1"/>
        <v>0</v>
      </c>
      <c r="H34" s="224"/>
      <c r="J34" s="200"/>
    </row>
    <row r="35" spans="1:10" x14ac:dyDescent="0.2">
      <c r="A35" s="58"/>
      <c r="B35" s="58"/>
      <c r="C35" s="59" t="s">
        <v>139</v>
      </c>
      <c r="D35" s="2"/>
      <c r="E35" s="200">
        <v>3.75</v>
      </c>
      <c r="F35" s="213"/>
      <c r="G35" s="6">
        <f t="shared" si="1"/>
        <v>0</v>
      </c>
      <c r="H35" s="224"/>
      <c r="J35" s="200"/>
    </row>
    <row r="36" spans="1:10" x14ac:dyDescent="0.2">
      <c r="A36" s="58"/>
      <c r="B36" s="58"/>
      <c r="C36" s="59" t="s">
        <v>139</v>
      </c>
      <c r="D36" s="2"/>
      <c r="E36" s="200">
        <v>7.5</v>
      </c>
      <c r="F36" s="11"/>
      <c r="G36" s="6">
        <f t="shared" si="1"/>
        <v>0</v>
      </c>
      <c r="H36" s="224"/>
      <c r="J36" s="200"/>
    </row>
    <row r="37" spans="1:10" x14ac:dyDescent="0.2">
      <c r="A37" s="58"/>
      <c r="B37" s="58"/>
      <c r="C37" s="59" t="s">
        <v>139</v>
      </c>
      <c r="D37" s="2"/>
      <c r="E37" s="200">
        <v>15</v>
      </c>
      <c r="F37" s="213"/>
      <c r="G37" s="6">
        <f t="shared" si="1"/>
        <v>0</v>
      </c>
      <c r="H37" s="224"/>
      <c r="J37" s="200"/>
    </row>
    <row r="38" spans="1:10" x14ac:dyDescent="0.2">
      <c r="A38" s="58"/>
      <c r="B38" s="58"/>
      <c r="C38" s="59" t="s">
        <v>139</v>
      </c>
      <c r="D38" s="2"/>
      <c r="E38" s="200">
        <v>30</v>
      </c>
      <c r="F38" s="213"/>
      <c r="G38" s="6">
        <f t="shared" si="1"/>
        <v>0</v>
      </c>
      <c r="H38" s="224"/>
      <c r="J38" s="200"/>
    </row>
    <row r="39" spans="1:10" x14ac:dyDescent="0.2">
      <c r="A39" s="58"/>
      <c r="B39" s="58"/>
      <c r="C39" s="59" t="s">
        <v>139</v>
      </c>
      <c r="D39" s="2"/>
      <c r="E39" s="200">
        <v>37.5</v>
      </c>
      <c r="F39" s="213"/>
      <c r="G39" s="6">
        <f t="shared" si="1"/>
        <v>0</v>
      </c>
      <c r="H39" s="224"/>
      <c r="J39" s="200"/>
    </row>
    <row r="40" spans="1:10" x14ac:dyDescent="0.2">
      <c r="A40" s="58"/>
      <c r="B40" s="58"/>
      <c r="C40" s="59" t="s">
        <v>139</v>
      </c>
      <c r="D40" s="2"/>
      <c r="E40" s="200">
        <v>225</v>
      </c>
      <c r="F40" s="213"/>
      <c r="G40" s="6">
        <f t="shared" si="1"/>
        <v>0</v>
      </c>
      <c r="H40" s="224"/>
      <c r="J40" s="200"/>
    </row>
    <row r="41" spans="1:10" x14ac:dyDescent="0.2">
      <c r="A41" s="58"/>
      <c r="B41" s="219"/>
      <c r="C41" s="220" t="s">
        <v>139</v>
      </c>
      <c r="D41" s="2"/>
      <c r="E41" s="225">
        <v>450</v>
      </c>
      <c r="F41" s="272"/>
      <c r="G41" s="273">
        <f t="shared" si="1"/>
        <v>0</v>
      </c>
      <c r="H41" s="226"/>
      <c r="J41" s="200"/>
    </row>
    <row r="42" spans="1:10" x14ac:dyDescent="0.2">
      <c r="A42" s="58"/>
      <c r="B42" s="58">
        <v>10</v>
      </c>
      <c r="C42" s="259" t="s">
        <v>140</v>
      </c>
      <c r="D42" s="2"/>
      <c r="E42" s="200">
        <v>7.5</v>
      </c>
      <c r="F42" s="209"/>
      <c r="G42" s="271">
        <f t="shared" si="1"/>
        <v>0</v>
      </c>
      <c r="H42" s="227" t="s">
        <v>268</v>
      </c>
      <c r="J42" s="200"/>
    </row>
    <row r="43" spans="1:10" x14ac:dyDescent="0.2">
      <c r="A43" s="58"/>
      <c r="B43" s="58">
        <v>50</v>
      </c>
      <c r="C43" s="59" t="s">
        <v>140</v>
      </c>
      <c r="D43" s="2"/>
      <c r="E43" s="200">
        <v>37.5</v>
      </c>
      <c r="F43" s="213"/>
      <c r="G43" s="6">
        <f t="shared" si="1"/>
        <v>0</v>
      </c>
      <c r="H43" s="224"/>
      <c r="J43" s="200"/>
    </row>
    <row r="44" spans="1:10" x14ac:dyDescent="0.2">
      <c r="A44" s="58"/>
      <c r="B44" s="12" t="s">
        <v>141</v>
      </c>
      <c r="C44" s="220" t="s">
        <v>140</v>
      </c>
      <c r="D44" s="2"/>
      <c r="E44" s="225">
        <v>450</v>
      </c>
      <c r="F44" s="213"/>
      <c r="G44" s="6">
        <f t="shared" si="1"/>
        <v>0</v>
      </c>
      <c r="H44" s="226"/>
      <c r="J44" s="200"/>
    </row>
    <row r="45" spans="1:10" x14ac:dyDescent="0.2">
      <c r="A45" s="58"/>
      <c r="B45" s="221">
        <v>2</v>
      </c>
      <c r="C45" s="222" t="s">
        <v>142</v>
      </c>
      <c r="D45" s="2"/>
      <c r="E45" s="223">
        <v>1.5</v>
      </c>
      <c r="F45" s="213"/>
      <c r="G45" s="6">
        <f t="shared" si="1"/>
        <v>0</v>
      </c>
      <c r="H45" s="227" t="s">
        <v>267</v>
      </c>
      <c r="J45" s="200"/>
    </row>
    <row r="46" spans="1:10" x14ac:dyDescent="0.2">
      <c r="A46" s="58"/>
      <c r="B46" s="58">
        <v>10</v>
      </c>
      <c r="C46" s="59" t="s">
        <v>142</v>
      </c>
      <c r="D46" s="2"/>
      <c r="E46" s="200">
        <v>7.5</v>
      </c>
      <c r="F46" s="213"/>
      <c r="G46" s="6">
        <f t="shared" si="1"/>
        <v>0</v>
      </c>
      <c r="H46" s="227"/>
      <c r="J46" s="200"/>
    </row>
    <row r="47" spans="1:10" x14ac:dyDescent="0.2">
      <c r="A47" s="58"/>
      <c r="B47" s="219">
        <v>40</v>
      </c>
      <c r="C47" s="220" t="s">
        <v>142</v>
      </c>
      <c r="D47" s="2"/>
      <c r="E47" s="225">
        <v>30</v>
      </c>
      <c r="F47" s="213"/>
      <c r="G47" s="6">
        <f t="shared" si="1"/>
        <v>0</v>
      </c>
      <c r="H47" s="228"/>
      <c r="J47" s="200"/>
    </row>
    <row r="48" spans="1:10" x14ac:dyDescent="0.2">
      <c r="A48" s="58"/>
      <c r="B48" s="58">
        <v>10</v>
      </c>
      <c r="C48" s="13" t="s">
        <v>143</v>
      </c>
      <c r="D48" s="2"/>
      <c r="E48" s="200">
        <v>7.5</v>
      </c>
      <c r="F48" s="213"/>
      <c r="G48" s="6">
        <f t="shared" si="1"/>
        <v>0</v>
      </c>
      <c r="H48" s="227" t="s">
        <v>267</v>
      </c>
      <c r="J48" s="200"/>
    </row>
    <row r="49" spans="1:10" x14ac:dyDescent="0.2">
      <c r="A49" s="58"/>
      <c r="B49" s="58">
        <v>40</v>
      </c>
      <c r="C49" s="13" t="s">
        <v>143</v>
      </c>
      <c r="D49" s="2"/>
      <c r="E49" s="200">
        <v>30</v>
      </c>
      <c r="F49" s="213"/>
      <c r="G49" s="6">
        <f t="shared" si="1"/>
        <v>0</v>
      </c>
      <c r="H49" s="227"/>
      <c r="J49" s="200"/>
    </row>
    <row r="50" spans="1:10" ht="13.5" thickBot="1" x14ac:dyDescent="0.25">
      <c r="A50" s="58"/>
      <c r="B50" s="201">
        <v>120</v>
      </c>
      <c r="C50" s="8" t="s">
        <v>143</v>
      </c>
      <c r="D50" s="275"/>
      <c r="E50" s="203">
        <v>450</v>
      </c>
      <c r="F50" s="217"/>
      <c r="G50" s="7">
        <f t="shared" si="1"/>
        <v>0</v>
      </c>
      <c r="H50" s="229"/>
      <c r="J50" s="200"/>
    </row>
    <row r="51" spans="1:10" ht="13.5" thickBot="1" x14ac:dyDescent="0.25">
      <c r="A51" s="201"/>
      <c r="B51" s="201"/>
      <c r="C51" s="202"/>
      <c r="D51" s="202"/>
      <c r="E51" s="202"/>
      <c r="F51" s="9" t="s">
        <v>144</v>
      </c>
      <c r="G51" s="14">
        <f>SUM(G29:G50)</f>
        <v>0</v>
      </c>
      <c r="H51" s="42" t="s">
        <v>147</v>
      </c>
      <c r="I51" s="202"/>
      <c r="J51" s="203"/>
    </row>
  </sheetData>
  <sheetProtection algorithmName="SHA-512" hashValue="ydFQKc78sjgblYYjT1ry4c1GSGMqdQApmBE0oje56TF+6t3zdT8+3bLH1j4xq/AW81sYt2S5HamxSzs5EPCY6w==" saltValue="bMSdSixYo0cmJaZR+0RWxQ==" spinCount="100000" sheet="1" objects="1" scenarios="1"/>
  <protectedRanges>
    <protectedRange sqref="F20:F22" name="Bereich1"/>
    <protectedRange sqref="F29:F50" name="Bereich2"/>
  </protectedRanges>
  <mergeCells count="25">
    <mergeCell ref="H18:H19"/>
    <mergeCell ref="B4:H6"/>
    <mergeCell ref="A2:J2"/>
    <mergeCell ref="B3:H3"/>
    <mergeCell ref="C7:D7"/>
    <mergeCell ref="F8:F12"/>
    <mergeCell ref="G8:G12"/>
    <mergeCell ref="C11:D11"/>
    <mergeCell ref="B16:H16"/>
    <mergeCell ref="B17:E17"/>
    <mergeCell ref="F17:H17"/>
    <mergeCell ref="B18:B19"/>
    <mergeCell ref="C18:C19"/>
    <mergeCell ref="D18:D19"/>
    <mergeCell ref="E18:E19"/>
    <mergeCell ref="F18:G18"/>
    <mergeCell ref="B25:H25"/>
    <mergeCell ref="B26:E26"/>
    <mergeCell ref="F26:H26"/>
    <mergeCell ref="B27:B28"/>
    <mergeCell ref="C27:C28"/>
    <mergeCell ref="D27:D28"/>
    <mergeCell ref="E27:E28"/>
    <mergeCell ref="F27:G27"/>
    <mergeCell ref="H27:H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6"/>
  <sheetViews>
    <sheetView zoomScaleNormal="100" workbookViewId="0">
      <selection activeCell="D8" sqref="D8:D12"/>
    </sheetView>
  </sheetViews>
  <sheetFormatPr baseColWidth="10" defaultColWidth="11.42578125" defaultRowHeight="12.75" x14ac:dyDescent="0.2"/>
  <cols>
    <col min="1" max="1" width="11.42578125" style="59"/>
    <col min="2" max="2" width="46.28515625" style="59" customWidth="1"/>
    <col min="3" max="3" width="21.85546875" style="59" customWidth="1"/>
    <col min="4" max="4" width="32.42578125" style="59" bestFit="1" customWidth="1"/>
    <col min="5" max="5" width="21.5703125" style="110" customWidth="1"/>
    <col min="6" max="6" width="27.85546875" style="110" customWidth="1"/>
    <col min="7" max="7" width="18.5703125" style="59" bestFit="1" customWidth="1"/>
    <col min="8" max="8" width="38.85546875" style="59" bestFit="1" customWidth="1"/>
    <col min="9" max="9" width="36.85546875" style="59" bestFit="1" customWidth="1"/>
    <col min="10" max="16" width="11.42578125" style="59"/>
    <col min="17" max="17" width="51.5703125" style="59" customWidth="1"/>
    <col min="18" max="16384" width="11.42578125" style="59"/>
  </cols>
  <sheetData>
    <row r="1" spans="1:20" ht="12.75" customHeight="1" thickBot="1" x14ac:dyDescent="0.25">
      <c r="E1" s="59"/>
      <c r="F1" s="59"/>
      <c r="G1" s="115"/>
      <c r="H1" s="115"/>
      <c r="L1" s="115"/>
      <c r="M1" s="115"/>
    </row>
    <row r="2" spans="1:20" ht="12.75" customHeight="1" thickBot="1" x14ac:dyDescent="0.25">
      <c r="A2" s="116"/>
      <c r="B2" s="302" t="s">
        <v>289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117"/>
      <c r="N2" s="118"/>
    </row>
    <row r="3" spans="1:20" ht="12.75" customHeight="1" thickBot="1" x14ac:dyDescent="0.25">
      <c r="A3" s="58"/>
      <c r="B3" s="323" t="s">
        <v>245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20" ht="12.75" customHeight="1" x14ac:dyDescent="0.2">
      <c r="B4" s="324" t="s">
        <v>162</v>
      </c>
      <c r="C4" s="325"/>
      <c r="D4" s="325"/>
      <c r="E4" s="325"/>
      <c r="F4" s="325"/>
      <c r="G4" s="325"/>
      <c r="H4" s="325"/>
      <c r="I4" s="325"/>
      <c r="J4" s="325"/>
      <c r="K4" s="325"/>
      <c r="L4" s="326"/>
      <c r="P4" s="109"/>
      <c r="Q4" s="109"/>
      <c r="R4" s="109"/>
      <c r="S4" s="109"/>
      <c r="T4" s="109"/>
    </row>
    <row r="5" spans="1:20" ht="12.75" customHeight="1" x14ac:dyDescent="0.2">
      <c r="B5" s="327"/>
      <c r="C5" s="328"/>
      <c r="D5" s="328"/>
      <c r="E5" s="328"/>
      <c r="F5" s="328"/>
      <c r="G5" s="328"/>
      <c r="H5" s="328"/>
      <c r="I5" s="328"/>
      <c r="J5" s="328"/>
      <c r="K5" s="328"/>
      <c r="L5" s="329"/>
      <c r="P5" s="109"/>
      <c r="Q5" s="109"/>
      <c r="R5" s="109"/>
      <c r="S5" s="109"/>
      <c r="T5" s="109"/>
    </row>
    <row r="6" spans="1:20" ht="12.75" customHeight="1" x14ac:dyDescent="0.2">
      <c r="B6" s="327"/>
      <c r="C6" s="328"/>
      <c r="D6" s="328"/>
      <c r="E6" s="328"/>
      <c r="F6" s="328"/>
      <c r="G6" s="328"/>
      <c r="H6" s="328"/>
      <c r="I6" s="328"/>
      <c r="J6" s="328"/>
      <c r="K6" s="328"/>
      <c r="L6" s="329"/>
      <c r="P6" s="109"/>
      <c r="Q6" s="109"/>
      <c r="R6" s="109"/>
      <c r="S6" s="109"/>
      <c r="T6" s="109"/>
    </row>
    <row r="7" spans="1:20" s="64" customFormat="1" ht="12.75" customHeight="1" x14ac:dyDescent="0.2">
      <c r="B7" s="63" t="s">
        <v>150</v>
      </c>
      <c r="D7" s="28" t="s">
        <v>121</v>
      </c>
      <c r="E7" s="28"/>
      <c r="H7" s="28" t="s">
        <v>122</v>
      </c>
      <c r="I7" s="64" t="s">
        <v>198</v>
      </c>
      <c r="K7" s="65"/>
      <c r="L7" s="29"/>
      <c r="P7" s="109"/>
      <c r="Q7" s="109"/>
      <c r="R7" s="109"/>
      <c r="S7" s="109"/>
      <c r="T7" s="109"/>
    </row>
    <row r="8" spans="1:20" ht="12.75" customHeight="1" x14ac:dyDescent="0.2">
      <c r="B8" s="119"/>
      <c r="C8" s="47"/>
      <c r="D8" s="330" t="s">
        <v>124</v>
      </c>
      <c r="E8" s="49"/>
      <c r="F8" s="50"/>
      <c r="G8" s="50"/>
      <c r="H8" s="333" t="s">
        <v>124</v>
      </c>
      <c r="I8" s="336" t="s">
        <v>147</v>
      </c>
      <c r="K8" s="62"/>
      <c r="L8" s="120"/>
      <c r="P8" s="109"/>
      <c r="Q8" s="109"/>
      <c r="R8" s="109"/>
      <c r="S8" s="109"/>
      <c r="T8" s="109"/>
    </row>
    <row r="9" spans="1:20" ht="12.75" customHeight="1" x14ac:dyDescent="0.2">
      <c r="B9" s="119"/>
      <c r="C9" s="47"/>
      <c r="D9" s="331"/>
      <c r="E9" s="49"/>
      <c r="F9" s="50"/>
      <c r="G9" s="50"/>
      <c r="H9" s="334"/>
      <c r="I9" s="336"/>
      <c r="K9" s="62"/>
      <c r="L9" s="120"/>
      <c r="P9" s="109"/>
      <c r="Q9" s="109"/>
      <c r="R9" s="109"/>
      <c r="S9" s="109"/>
      <c r="T9" s="109"/>
    </row>
    <row r="10" spans="1:20" ht="12.75" customHeight="1" x14ac:dyDescent="0.2">
      <c r="B10" s="119"/>
      <c r="C10" s="47"/>
      <c r="D10" s="331"/>
      <c r="E10" s="49"/>
      <c r="F10" s="50"/>
      <c r="G10" s="50"/>
      <c r="H10" s="334"/>
      <c r="I10" s="336"/>
      <c r="K10" s="62"/>
      <c r="L10" s="120"/>
      <c r="P10" s="109"/>
      <c r="Q10" s="109"/>
      <c r="R10" s="109"/>
      <c r="S10" s="109"/>
      <c r="T10" s="109"/>
    </row>
    <row r="11" spans="1:20" ht="12.75" customHeight="1" x14ac:dyDescent="0.2">
      <c r="B11" s="119"/>
      <c r="C11" s="47"/>
      <c r="D11" s="331"/>
      <c r="E11" s="49"/>
      <c r="F11" s="50"/>
      <c r="G11" s="50"/>
      <c r="H11" s="334"/>
      <c r="I11" s="336"/>
      <c r="K11" s="62"/>
      <c r="L11" s="120"/>
      <c r="P11" s="109"/>
      <c r="Q11" s="109"/>
      <c r="R11" s="109"/>
      <c r="S11" s="109"/>
      <c r="T11" s="109"/>
    </row>
    <row r="12" spans="1:20" ht="12.75" customHeight="1" thickBot="1" x14ac:dyDescent="0.25">
      <c r="B12" s="121"/>
      <c r="C12" s="122"/>
      <c r="D12" s="332"/>
      <c r="E12" s="123"/>
      <c r="F12" s="124"/>
      <c r="G12" s="124"/>
      <c r="H12" s="335"/>
      <c r="I12" s="337"/>
      <c r="J12" s="61"/>
      <c r="K12" s="125"/>
      <c r="L12" s="126"/>
      <c r="P12" s="109"/>
      <c r="Q12" s="109"/>
      <c r="R12" s="109"/>
      <c r="S12" s="109"/>
      <c r="T12" s="109"/>
    </row>
    <row r="13" spans="1:20" ht="12.75" customHeight="1" x14ac:dyDescent="0.2">
      <c r="E13" s="59"/>
      <c r="F13" s="59"/>
      <c r="P13" s="109"/>
      <c r="Q13" s="109"/>
      <c r="R13" s="109"/>
      <c r="S13" s="109"/>
      <c r="T13" s="109"/>
    </row>
    <row r="14" spans="1:20" ht="12.75" customHeight="1" x14ac:dyDescent="0.2">
      <c r="E14" s="59"/>
      <c r="F14" s="59"/>
      <c r="P14" s="109"/>
      <c r="Q14" s="109"/>
      <c r="R14" s="109"/>
      <c r="S14" s="109"/>
      <c r="T14" s="109"/>
    </row>
    <row r="15" spans="1:20" s="25" customFormat="1" ht="5.0999999999999996" customHeight="1" thickBot="1" x14ac:dyDescent="0.25">
      <c r="E15" s="26"/>
      <c r="F15" s="26"/>
    </row>
    <row r="16" spans="1:20" customFormat="1" ht="15.75" customHeight="1" thickBot="1" x14ac:dyDescent="0.3">
      <c r="A16" s="311" t="s">
        <v>257</v>
      </c>
      <c r="B16" s="312"/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3"/>
    </row>
    <row r="17" spans="1:15" customFormat="1" ht="15.75" customHeight="1" x14ac:dyDescent="0.25">
      <c r="A17" s="25"/>
      <c r="B17" s="25"/>
      <c r="C17" s="25"/>
      <c r="D17" s="25"/>
      <c r="E17" s="26"/>
      <c r="F17" s="26"/>
      <c r="G17" s="25"/>
      <c r="H17" s="25"/>
      <c r="I17" s="25"/>
      <c r="J17" s="25"/>
      <c r="K17" s="25"/>
      <c r="L17" s="25"/>
      <c r="M17" s="25"/>
    </row>
    <row r="18" spans="1:15" x14ac:dyDescent="0.2">
      <c r="A18" s="67" t="s">
        <v>256</v>
      </c>
      <c r="B18" s="68"/>
      <c r="C18" s="68"/>
      <c r="D18" s="69"/>
      <c r="E18" s="69"/>
      <c r="F18" s="69"/>
      <c r="G18" s="69"/>
      <c r="H18" s="69"/>
      <c r="I18" s="69"/>
      <c r="J18" s="69"/>
      <c r="K18" s="69"/>
      <c r="L18" s="68"/>
      <c r="M18" s="70"/>
    </row>
    <row r="19" spans="1:15" customFormat="1" ht="15.75" customHeight="1" x14ac:dyDescent="0.25">
      <c r="A19" s="25"/>
      <c r="B19" s="25"/>
      <c r="C19" s="25"/>
      <c r="D19" s="25"/>
      <c r="E19" s="26"/>
      <c r="F19" s="26"/>
      <c r="G19" s="25"/>
      <c r="H19" s="25"/>
      <c r="I19" s="25"/>
      <c r="J19" s="25"/>
      <c r="K19" s="25"/>
      <c r="L19" s="25"/>
      <c r="M19" s="25"/>
    </row>
    <row r="20" spans="1:15" customFormat="1" ht="15.75" customHeight="1" x14ac:dyDescent="0.25">
      <c r="A20" s="25"/>
      <c r="B20" s="43" t="s">
        <v>175</v>
      </c>
      <c r="C20" s="43" t="s">
        <v>178</v>
      </c>
      <c r="D20" s="44" t="s">
        <v>160</v>
      </c>
      <c r="E20" s="44" t="s">
        <v>192</v>
      </c>
      <c r="F20" s="25"/>
      <c r="G20" s="26"/>
      <c r="H20" s="26"/>
      <c r="I20" s="25"/>
      <c r="J20" s="25"/>
      <c r="K20" s="25"/>
      <c r="L20" s="25"/>
      <c r="M20" s="25"/>
      <c r="N20" s="25"/>
      <c r="O20" s="25"/>
    </row>
    <row r="21" spans="1:15" customFormat="1" ht="15.75" customHeight="1" x14ac:dyDescent="0.25">
      <c r="A21" s="25"/>
      <c r="B21" s="47" t="s">
        <v>56</v>
      </c>
      <c r="C21" s="47" t="s">
        <v>35</v>
      </c>
      <c r="D21" s="48"/>
      <c r="E21" s="49"/>
      <c r="F21" s="25"/>
      <c r="G21" s="26"/>
      <c r="H21" s="26"/>
      <c r="I21" s="25"/>
      <c r="J21" s="25"/>
      <c r="K21" s="25"/>
      <c r="L21" s="25"/>
      <c r="M21" s="25"/>
      <c r="N21" s="25"/>
      <c r="O21" s="25"/>
    </row>
    <row r="22" spans="1:15" customFormat="1" ht="15.75" customHeight="1" x14ac:dyDescent="0.25">
      <c r="A22" s="25"/>
      <c r="B22" s="47" t="s">
        <v>57</v>
      </c>
      <c r="C22" s="47" t="s">
        <v>36</v>
      </c>
      <c r="D22" s="48"/>
      <c r="E22" s="49"/>
      <c r="F22" s="25"/>
      <c r="G22" s="26"/>
      <c r="H22" s="26"/>
      <c r="I22" s="25"/>
      <c r="J22" s="25"/>
      <c r="K22" s="25"/>
      <c r="L22" s="25"/>
      <c r="M22" s="25"/>
      <c r="N22" s="25"/>
      <c r="O22" s="25"/>
    </row>
    <row r="23" spans="1:15" customFormat="1" ht="15.75" customHeight="1" x14ac:dyDescent="0.25">
      <c r="A23" s="25"/>
      <c r="B23" s="47" t="s">
        <v>58</v>
      </c>
      <c r="C23" s="47" t="s">
        <v>38</v>
      </c>
      <c r="D23" s="48"/>
      <c r="E23" s="49"/>
      <c r="F23" s="25"/>
      <c r="G23" s="26"/>
      <c r="H23" s="26"/>
      <c r="I23" s="25"/>
      <c r="J23" s="25"/>
      <c r="K23" s="25"/>
      <c r="L23" s="25"/>
      <c r="M23" s="25"/>
      <c r="N23" s="25"/>
      <c r="O23" s="25"/>
    </row>
    <row r="24" spans="1:15" customFormat="1" ht="15.75" customHeight="1" x14ac:dyDescent="0.25">
      <c r="A24" s="25"/>
      <c r="B24" s="47" t="s">
        <v>59</v>
      </c>
      <c r="C24" s="47" t="s">
        <v>36</v>
      </c>
      <c r="D24" s="48"/>
      <c r="E24" s="49"/>
      <c r="F24" s="25"/>
      <c r="G24" s="26"/>
      <c r="H24" s="26"/>
      <c r="I24" s="25"/>
      <c r="J24" s="25"/>
      <c r="K24" s="25"/>
      <c r="L24" s="25"/>
      <c r="M24" s="25"/>
      <c r="N24" s="25"/>
      <c r="O24" s="25"/>
    </row>
    <row r="25" spans="1:15" customFormat="1" ht="15.75" customHeight="1" x14ac:dyDescent="0.25">
      <c r="A25" s="25"/>
      <c r="B25" s="47" t="s">
        <v>60</v>
      </c>
      <c r="C25" s="47" t="s">
        <v>37</v>
      </c>
      <c r="D25" s="48"/>
      <c r="E25" s="49"/>
      <c r="F25" s="25"/>
      <c r="G25" s="26"/>
      <c r="H25" s="26"/>
      <c r="I25" s="25"/>
      <c r="J25" s="25"/>
      <c r="K25" s="25"/>
      <c r="L25" s="25"/>
      <c r="M25" s="25"/>
      <c r="N25" s="25"/>
      <c r="O25" s="25"/>
    </row>
    <row r="26" spans="1:15" customFormat="1" ht="15.75" customHeight="1" x14ac:dyDescent="0.25">
      <c r="A26" s="25"/>
      <c r="B26" s="47" t="s">
        <v>61</v>
      </c>
      <c r="C26" s="47" t="s">
        <v>35</v>
      </c>
      <c r="D26" s="48"/>
      <c r="E26" s="49"/>
      <c r="F26" s="25"/>
      <c r="G26" s="26"/>
      <c r="H26" s="26"/>
      <c r="I26" s="25"/>
      <c r="J26" s="25"/>
      <c r="K26" s="25"/>
      <c r="L26" s="25"/>
      <c r="M26" s="25"/>
      <c r="N26" s="25"/>
      <c r="O26" s="25"/>
    </row>
    <row r="27" spans="1:15" customFormat="1" ht="15.75" customHeight="1" x14ac:dyDescent="0.25">
      <c r="A27" s="25"/>
      <c r="B27" s="47" t="s">
        <v>62</v>
      </c>
      <c r="C27" s="47" t="s">
        <v>36</v>
      </c>
      <c r="D27" s="48"/>
      <c r="E27" s="49"/>
      <c r="F27" s="25"/>
      <c r="G27" s="26"/>
      <c r="H27" s="26"/>
      <c r="I27" s="25"/>
      <c r="J27" s="25"/>
      <c r="K27" s="25"/>
      <c r="L27" s="25"/>
      <c r="M27" s="25"/>
      <c r="N27" s="25"/>
      <c r="O27" s="25"/>
    </row>
    <row r="28" spans="1:15" customFormat="1" ht="15.75" customHeight="1" x14ac:dyDescent="0.25">
      <c r="A28" s="25"/>
      <c r="B28" s="47" t="s">
        <v>64</v>
      </c>
      <c r="C28" s="47" t="s">
        <v>37</v>
      </c>
      <c r="D28" s="48"/>
      <c r="E28" s="49"/>
      <c r="F28" s="25"/>
      <c r="G28" s="26"/>
      <c r="H28" s="26"/>
      <c r="I28" s="25"/>
      <c r="J28" s="25"/>
      <c r="K28" s="25"/>
      <c r="L28" s="25"/>
      <c r="M28" s="25"/>
      <c r="N28" s="25"/>
      <c r="O28" s="25"/>
    </row>
    <row r="29" spans="1:15" customFormat="1" ht="15.75" customHeight="1" x14ac:dyDescent="0.25">
      <c r="A29" s="25"/>
      <c r="B29" s="47" t="s">
        <v>65</v>
      </c>
      <c r="C29" s="47" t="s">
        <v>65</v>
      </c>
      <c r="D29" s="48"/>
      <c r="E29" s="49"/>
      <c r="F29" s="25"/>
      <c r="G29" s="26"/>
      <c r="H29" s="26"/>
      <c r="I29" s="25"/>
      <c r="J29" s="25"/>
      <c r="K29" s="25"/>
      <c r="L29" s="25"/>
      <c r="M29" s="25"/>
      <c r="N29" s="25"/>
      <c r="O29" s="25"/>
    </row>
    <row r="30" spans="1:15" customFormat="1" ht="15.75" customHeight="1" x14ac:dyDescent="0.25">
      <c r="A30" s="25"/>
      <c r="B30" s="47" t="s">
        <v>66</v>
      </c>
      <c r="C30" s="47" t="s">
        <v>37</v>
      </c>
      <c r="D30" s="48"/>
      <c r="E30" s="49"/>
      <c r="F30" s="25"/>
      <c r="G30" s="26"/>
      <c r="H30" s="26"/>
      <c r="I30" s="25"/>
      <c r="J30" s="25"/>
      <c r="K30" s="25"/>
      <c r="L30" s="25"/>
      <c r="M30" s="25"/>
      <c r="N30" s="25"/>
      <c r="O30" s="25"/>
    </row>
    <row r="31" spans="1:15" customFormat="1" ht="15.75" customHeight="1" x14ac:dyDescent="0.25">
      <c r="A31" s="25"/>
      <c r="B31" s="47" t="s">
        <v>67</v>
      </c>
      <c r="C31" s="47" t="s">
        <v>37</v>
      </c>
      <c r="D31" s="48"/>
      <c r="E31" s="49"/>
      <c r="F31" s="25"/>
      <c r="G31" s="26"/>
      <c r="H31" s="26"/>
      <c r="I31" s="25"/>
      <c r="J31" s="25"/>
      <c r="K31" s="25"/>
      <c r="L31" s="25"/>
      <c r="M31" s="25"/>
      <c r="N31" s="25"/>
      <c r="O31" s="25"/>
    </row>
    <row r="32" spans="1:15" customFormat="1" ht="15.75" customHeight="1" x14ac:dyDescent="0.25">
      <c r="A32" s="25"/>
      <c r="B32" s="47" t="s">
        <v>68</v>
      </c>
      <c r="C32" s="47" t="s">
        <v>37</v>
      </c>
      <c r="D32" s="48"/>
      <c r="E32" s="49"/>
      <c r="F32" s="25"/>
      <c r="G32" s="26"/>
      <c r="H32" s="26"/>
      <c r="I32" s="25"/>
      <c r="J32" s="25"/>
      <c r="K32" s="25"/>
      <c r="L32" s="25"/>
      <c r="M32" s="25"/>
      <c r="N32" s="25"/>
      <c r="O32" s="25"/>
    </row>
    <row r="33" spans="1:15" customFormat="1" ht="15.75" customHeight="1" x14ac:dyDescent="0.25">
      <c r="A33" s="25"/>
      <c r="B33" s="47" t="s">
        <v>69</v>
      </c>
      <c r="C33" s="47" t="s">
        <v>36</v>
      </c>
      <c r="D33" s="48"/>
      <c r="E33" s="49"/>
      <c r="F33" s="25"/>
      <c r="G33" s="26"/>
      <c r="H33" s="26"/>
      <c r="I33" s="25"/>
      <c r="J33" s="25"/>
      <c r="K33" s="25"/>
      <c r="L33" s="25"/>
      <c r="M33" s="25"/>
      <c r="N33" s="25"/>
      <c r="O33" s="25"/>
    </row>
    <row r="34" spans="1:15" customFormat="1" ht="15.75" customHeight="1" x14ac:dyDescent="0.25">
      <c r="A34" s="25"/>
      <c r="B34" s="47" t="s">
        <v>70</v>
      </c>
      <c r="C34" s="47" t="s">
        <v>37</v>
      </c>
      <c r="D34" s="48"/>
      <c r="E34" s="49"/>
      <c r="F34" s="25"/>
      <c r="G34" s="26"/>
      <c r="H34" s="26"/>
      <c r="I34" s="25"/>
      <c r="J34" s="25"/>
      <c r="K34" s="25"/>
      <c r="L34" s="25"/>
      <c r="M34" s="25"/>
      <c r="N34" s="25"/>
      <c r="O34" s="25"/>
    </row>
    <row r="35" spans="1:15" customFormat="1" ht="15.75" customHeight="1" x14ac:dyDescent="0.25">
      <c r="A35" s="25"/>
      <c r="B35" s="47" t="s">
        <v>71</v>
      </c>
      <c r="C35" s="47" t="s">
        <v>36</v>
      </c>
      <c r="D35" s="48"/>
      <c r="E35" s="49"/>
      <c r="F35" s="25"/>
      <c r="G35" s="26"/>
      <c r="H35" s="26"/>
      <c r="I35" s="25"/>
      <c r="J35" s="25"/>
      <c r="K35" s="25"/>
      <c r="L35" s="25"/>
      <c r="M35" s="25"/>
      <c r="N35" s="25"/>
      <c r="O35" s="25"/>
    </row>
    <row r="36" spans="1:15" customFormat="1" ht="15.75" customHeight="1" x14ac:dyDescent="0.25">
      <c r="A36" s="25"/>
      <c r="B36" s="47" t="s">
        <v>72</v>
      </c>
      <c r="C36" s="47" t="s">
        <v>37</v>
      </c>
      <c r="D36" s="48"/>
      <c r="E36" s="49"/>
      <c r="F36" s="25"/>
      <c r="G36" s="26"/>
      <c r="H36" s="26"/>
      <c r="I36" s="25"/>
      <c r="J36" s="25"/>
      <c r="K36" s="25"/>
      <c r="L36" s="25"/>
      <c r="M36" s="25"/>
      <c r="N36" s="25"/>
      <c r="O36" s="25"/>
    </row>
    <row r="37" spans="1:15" customFormat="1" ht="15.75" customHeight="1" x14ac:dyDescent="0.25">
      <c r="A37" s="25"/>
      <c r="B37" s="47" t="s">
        <v>73</v>
      </c>
      <c r="C37" s="47" t="s">
        <v>36</v>
      </c>
      <c r="D37" s="48"/>
      <c r="E37" s="49"/>
      <c r="F37" s="25"/>
      <c r="G37" s="26"/>
      <c r="H37" s="26"/>
      <c r="I37" s="25"/>
      <c r="J37" s="25"/>
      <c r="K37" s="25"/>
      <c r="L37" s="25"/>
      <c r="M37" s="25"/>
      <c r="N37" s="25"/>
      <c r="O37" s="25"/>
    </row>
    <row r="38" spans="1:15" customFormat="1" ht="15.75" customHeight="1" x14ac:dyDescent="0.25">
      <c r="A38" s="25"/>
      <c r="B38" s="47" t="s">
        <v>74</v>
      </c>
      <c r="C38" s="47" t="s">
        <v>35</v>
      </c>
      <c r="D38" s="48"/>
      <c r="E38" s="49"/>
      <c r="F38" s="25"/>
      <c r="G38" s="26"/>
      <c r="H38" s="26"/>
      <c r="I38" s="25"/>
      <c r="J38" s="25"/>
      <c r="K38" s="25"/>
      <c r="L38" s="25"/>
      <c r="M38" s="25"/>
      <c r="N38" s="25"/>
      <c r="O38" s="25"/>
    </row>
    <row r="39" spans="1:15" customFormat="1" ht="15.75" customHeight="1" x14ac:dyDescent="0.25">
      <c r="A39" s="25"/>
      <c r="B39" s="47" t="s">
        <v>75</v>
      </c>
      <c r="C39" s="47" t="s">
        <v>36</v>
      </c>
      <c r="D39" s="48"/>
      <c r="E39" s="49"/>
      <c r="F39" s="25"/>
      <c r="G39" s="26"/>
      <c r="H39" s="26"/>
      <c r="I39" s="25"/>
      <c r="J39" s="25"/>
      <c r="K39" s="25"/>
      <c r="L39" s="25"/>
      <c r="M39" s="25"/>
      <c r="N39" s="25"/>
      <c r="O39" s="25"/>
    </row>
    <row r="40" spans="1:15" customFormat="1" ht="15.75" customHeight="1" x14ac:dyDescent="0.25">
      <c r="A40" s="25"/>
      <c r="B40" s="47" t="s">
        <v>76</v>
      </c>
      <c r="C40" s="47" t="s">
        <v>35</v>
      </c>
      <c r="D40" s="48"/>
      <c r="E40" s="49"/>
      <c r="F40" s="25"/>
      <c r="G40" s="26"/>
      <c r="H40" s="26"/>
      <c r="I40" s="25"/>
      <c r="J40" s="25"/>
      <c r="K40" s="25"/>
      <c r="L40" s="25"/>
      <c r="M40" s="25"/>
      <c r="N40" s="25"/>
      <c r="O40" s="25"/>
    </row>
    <row r="41" spans="1:15" customFormat="1" ht="15.75" customHeight="1" x14ac:dyDescent="0.25">
      <c r="A41" s="25"/>
      <c r="B41" s="47" t="s">
        <v>177</v>
      </c>
      <c r="C41" s="47" t="s">
        <v>37</v>
      </c>
      <c r="D41" s="48"/>
      <c r="E41" s="49"/>
      <c r="F41" s="25"/>
      <c r="G41" s="26"/>
      <c r="H41" s="26"/>
      <c r="I41" s="25"/>
      <c r="J41" s="25"/>
      <c r="K41" s="25"/>
      <c r="L41" s="25"/>
      <c r="M41" s="25"/>
      <c r="N41" s="25"/>
      <c r="O41" s="25"/>
    </row>
    <row r="42" spans="1:15" customFormat="1" ht="15.75" customHeight="1" x14ac:dyDescent="0.25">
      <c r="A42" s="25"/>
      <c r="B42" s="47" t="s">
        <v>77</v>
      </c>
      <c r="C42" s="47" t="s">
        <v>37</v>
      </c>
      <c r="D42" s="48"/>
      <c r="E42" s="49"/>
      <c r="F42" s="25"/>
      <c r="G42" s="26"/>
      <c r="H42" s="26"/>
      <c r="I42" s="25"/>
      <c r="J42" s="25"/>
      <c r="K42" s="25"/>
      <c r="L42" s="25"/>
      <c r="M42" s="25"/>
      <c r="N42" s="25"/>
      <c r="O42" s="25"/>
    </row>
    <row r="43" spans="1:15" customFormat="1" ht="15.75" customHeight="1" x14ac:dyDescent="0.25">
      <c r="A43" s="25"/>
      <c r="B43" s="47" t="s">
        <v>79</v>
      </c>
      <c r="C43" s="47" t="s">
        <v>34</v>
      </c>
      <c r="D43" s="48"/>
      <c r="E43" s="49"/>
      <c r="F43" s="25"/>
      <c r="G43" s="26"/>
      <c r="H43" s="26"/>
      <c r="I43" s="25"/>
      <c r="J43" s="25"/>
      <c r="K43" s="25"/>
      <c r="L43" s="25"/>
      <c r="M43" s="25"/>
      <c r="N43" s="25"/>
      <c r="O43" s="25"/>
    </row>
    <row r="44" spans="1:15" customFormat="1" ht="15.75" customHeight="1" x14ac:dyDescent="0.25">
      <c r="A44" s="25"/>
      <c r="B44" s="47" t="s">
        <v>80</v>
      </c>
      <c r="C44" s="47" t="s">
        <v>36</v>
      </c>
      <c r="D44" s="48"/>
      <c r="E44" s="49"/>
      <c r="F44" s="25"/>
      <c r="G44" s="26"/>
      <c r="H44" s="26"/>
      <c r="I44" s="25"/>
      <c r="J44" s="25"/>
      <c r="K44" s="25"/>
      <c r="L44" s="25"/>
      <c r="M44" s="25"/>
      <c r="N44" s="25"/>
      <c r="O44" s="25"/>
    </row>
    <row r="45" spans="1:15" customFormat="1" ht="15.75" customHeight="1" x14ac:dyDescent="0.25">
      <c r="A45" s="25"/>
      <c r="B45" s="47" t="s">
        <v>170</v>
      </c>
      <c r="C45" s="47" t="s">
        <v>37</v>
      </c>
      <c r="D45" s="48"/>
      <c r="E45" s="49"/>
      <c r="F45" s="25"/>
      <c r="G45" s="26"/>
      <c r="H45" s="26"/>
      <c r="I45" s="25"/>
      <c r="J45" s="25"/>
      <c r="K45" s="25"/>
      <c r="L45" s="25"/>
      <c r="M45" s="25"/>
      <c r="N45" s="25"/>
      <c r="O45" s="25"/>
    </row>
    <row r="46" spans="1:15" customFormat="1" ht="15.75" customHeight="1" x14ac:dyDescent="0.25">
      <c r="A46" s="25"/>
      <c r="B46" s="47" t="s">
        <v>81</v>
      </c>
      <c r="C46" s="47" t="s">
        <v>36</v>
      </c>
      <c r="D46" s="48"/>
      <c r="E46" s="49"/>
      <c r="F46" s="25"/>
      <c r="G46" s="26"/>
      <c r="H46" s="26"/>
      <c r="I46" s="25"/>
      <c r="J46" s="25"/>
      <c r="K46" s="25"/>
      <c r="L46" s="25"/>
      <c r="M46" s="25"/>
      <c r="N46" s="25"/>
      <c r="O46" s="25"/>
    </row>
    <row r="47" spans="1:15" customFormat="1" ht="15.75" customHeight="1" x14ac:dyDescent="0.25">
      <c r="A47" s="25"/>
      <c r="B47" s="47" t="s">
        <v>83</v>
      </c>
      <c r="C47" s="47" t="s">
        <v>38</v>
      </c>
      <c r="D47" s="48"/>
      <c r="E47" s="49"/>
      <c r="F47" s="25"/>
      <c r="G47" s="26"/>
      <c r="H47" s="26"/>
      <c r="I47" s="25"/>
      <c r="J47" s="25"/>
      <c r="K47" s="25"/>
      <c r="L47" s="25"/>
      <c r="M47" s="25"/>
      <c r="N47" s="25"/>
      <c r="O47" s="25"/>
    </row>
    <row r="48" spans="1:15" customFormat="1" ht="15.75" customHeight="1" x14ac:dyDescent="0.25">
      <c r="A48" s="25"/>
      <c r="B48" s="47" t="s">
        <v>84</v>
      </c>
      <c r="C48" s="47" t="s">
        <v>37</v>
      </c>
      <c r="D48" s="48"/>
      <c r="E48" s="49"/>
      <c r="F48" s="25"/>
      <c r="G48" s="26"/>
      <c r="H48" s="26"/>
      <c r="I48" s="25"/>
      <c r="J48" s="25"/>
      <c r="K48" s="25"/>
      <c r="L48" s="25"/>
      <c r="M48" s="25"/>
      <c r="N48" s="25"/>
      <c r="O48" s="25"/>
    </row>
    <row r="49" spans="1:15" customFormat="1" ht="15.75" customHeight="1" x14ac:dyDescent="0.25">
      <c r="A49" s="25"/>
      <c r="B49" s="47" t="s">
        <v>85</v>
      </c>
      <c r="C49" s="47" t="s">
        <v>37</v>
      </c>
      <c r="D49" s="48"/>
      <c r="E49" s="49"/>
      <c r="F49" s="25"/>
      <c r="G49" s="26"/>
      <c r="H49" s="26"/>
      <c r="I49" s="25"/>
      <c r="J49" s="25"/>
      <c r="K49" s="25"/>
      <c r="L49" s="25"/>
      <c r="M49" s="25"/>
      <c r="N49" s="25"/>
      <c r="O49" s="25"/>
    </row>
    <row r="50" spans="1:15" customFormat="1" ht="15.75" customHeight="1" x14ac:dyDescent="0.25">
      <c r="A50" s="25"/>
      <c r="B50" s="47" t="s">
        <v>86</v>
      </c>
      <c r="C50" s="47" t="s">
        <v>37</v>
      </c>
      <c r="D50" s="48"/>
      <c r="E50" s="49"/>
      <c r="F50" s="25"/>
      <c r="G50" s="26"/>
      <c r="H50" s="26"/>
      <c r="I50" s="25"/>
      <c r="J50" s="25"/>
      <c r="K50" s="25"/>
      <c r="L50" s="25"/>
      <c r="M50" s="25"/>
      <c r="N50" s="25"/>
      <c r="O50" s="25"/>
    </row>
    <row r="51" spans="1:15" customFormat="1" ht="15.75" customHeight="1" x14ac:dyDescent="0.25">
      <c r="A51" s="25"/>
      <c r="B51" s="47" t="s">
        <v>87</v>
      </c>
      <c r="C51" s="47" t="s">
        <v>35</v>
      </c>
      <c r="D51" s="48"/>
      <c r="E51" s="49"/>
      <c r="F51" s="25"/>
      <c r="G51" s="26"/>
      <c r="H51" s="26"/>
      <c r="I51" s="25"/>
      <c r="J51" s="25"/>
      <c r="K51" s="25"/>
      <c r="L51" s="25"/>
      <c r="M51" s="25"/>
      <c r="N51" s="25"/>
      <c r="O51" s="25"/>
    </row>
    <row r="52" spans="1:15" customFormat="1" ht="15.75" customHeight="1" x14ac:dyDescent="0.25">
      <c r="A52" s="25"/>
      <c r="B52" s="47" t="s">
        <v>88</v>
      </c>
      <c r="C52" s="47" t="s">
        <v>37</v>
      </c>
      <c r="D52" s="48"/>
      <c r="E52" s="49"/>
      <c r="F52" s="25"/>
      <c r="G52" s="26"/>
      <c r="H52" s="26"/>
      <c r="I52" s="25"/>
      <c r="J52" s="25"/>
      <c r="K52" s="25"/>
      <c r="L52" s="25"/>
      <c r="M52" s="25"/>
      <c r="N52" s="25"/>
      <c r="O52" s="25"/>
    </row>
    <row r="53" spans="1:15" customFormat="1" ht="15.75" customHeight="1" x14ac:dyDescent="0.25">
      <c r="A53" s="25"/>
      <c r="B53" s="47" t="s">
        <v>89</v>
      </c>
      <c r="C53" s="47" t="s">
        <v>37</v>
      </c>
      <c r="D53" s="48"/>
      <c r="E53" s="49"/>
      <c r="F53" s="25"/>
      <c r="G53" s="26"/>
      <c r="H53" s="26"/>
      <c r="I53" s="25"/>
      <c r="J53" s="25"/>
      <c r="K53" s="25"/>
      <c r="L53" s="25"/>
      <c r="M53" s="25"/>
      <c r="N53" s="25"/>
      <c r="O53" s="25"/>
    </row>
    <row r="54" spans="1:15" customFormat="1" ht="15.75" customHeight="1" x14ac:dyDescent="0.25">
      <c r="A54" s="25"/>
      <c r="B54" s="47" t="s">
        <v>90</v>
      </c>
      <c r="C54" s="47" t="s">
        <v>36</v>
      </c>
      <c r="D54" s="48"/>
      <c r="E54" s="49"/>
      <c r="F54" s="25"/>
      <c r="G54" s="26"/>
      <c r="H54" s="26"/>
      <c r="I54" s="25"/>
      <c r="J54" s="25"/>
      <c r="K54" s="25"/>
      <c r="L54" s="25"/>
      <c r="M54" s="25"/>
      <c r="N54" s="25"/>
      <c r="O54" s="25"/>
    </row>
    <row r="55" spans="1:15" customFormat="1" ht="15.75" customHeight="1" x14ac:dyDescent="0.25">
      <c r="A55" s="25"/>
      <c r="B55" s="47" t="s">
        <v>91</v>
      </c>
      <c r="C55" s="47" t="s">
        <v>37</v>
      </c>
      <c r="D55" s="48"/>
      <c r="E55" s="49"/>
      <c r="F55" s="25"/>
      <c r="G55" s="26"/>
      <c r="H55" s="26"/>
      <c r="I55" s="25"/>
      <c r="J55" s="25"/>
      <c r="K55" s="25"/>
      <c r="L55" s="25"/>
      <c r="M55" s="25"/>
      <c r="N55" s="25"/>
      <c r="O55" s="25"/>
    </row>
    <row r="56" spans="1:15" customFormat="1" ht="15.75" customHeight="1" x14ac:dyDescent="0.25">
      <c r="A56" s="25"/>
      <c r="B56" s="47" t="s">
        <v>92</v>
      </c>
      <c r="C56" s="47" t="s">
        <v>36</v>
      </c>
      <c r="D56" s="48"/>
      <c r="E56" s="49"/>
      <c r="F56" s="25"/>
      <c r="G56" s="26"/>
      <c r="H56" s="26"/>
      <c r="I56" s="25"/>
      <c r="J56" s="25"/>
      <c r="K56" s="25"/>
      <c r="L56" s="25"/>
      <c r="M56" s="25"/>
      <c r="N56" s="25"/>
      <c r="O56" s="25"/>
    </row>
    <row r="57" spans="1:15" customFormat="1" ht="15.75" customHeight="1" x14ac:dyDescent="0.25">
      <c r="A57" s="25"/>
      <c r="B57" s="47" t="s">
        <v>93</v>
      </c>
      <c r="C57" s="47" t="s">
        <v>37</v>
      </c>
      <c r="D57" s="48"/>
      <c r="E57" s="49"/>
      <c r="F57" s="25"/>
      <c r="G57" s="26"/>
      <c r="H57" s="26"/>
      <c r="I57" s="25"/>
      <c r="J57" s="25"/>
      <c r="K57" s="25"/>
      <c r="L57" s="25"/>
      <c r="M57" s="25"/>
      <c r="N57" s="25"/>
      <c r="O57" s="25"/>
    </row>
    <row r="58" spans="1:15" customFormat="1" ht="15.75" customHeight="1" x14ac:dyDescent="0.25">
      <c r="A58" s="25"/>
      <c r="B58" s="47" t="s">
        <v>94</v>
      </c>
      <c r="C58" s="47" t="s">
        <v>37</v>
      </c>
      <c r="D58" s="48"/>
      <c r="E58" s="49"/>
      <c r="F58" s="25"/>
      <c r="G58" s="26"/>
      <c r="H58" s="26"/>
      <c r="I58" s="25"/>
      <c r="J58" s="25"/>
      <c r="K58" s="25"/>
      <c r="L58" s="25"/>
      <c r="M58" s="25"/>
      <c r="N58" s="25"/>
      <c r="O58" s="25"/>
    </row>
    <row r="59" spans="1:15" customFormat="1" ht="15.75" customHeight="1" x14ac:dyDescent="0.25">
      <c r="A59" s="25"/>
      <c r="B59" s="47" t="s">
        <v>95</v>
      </c>
      <c r="C59" s="47" t="s">
        <v>37</v>
      </c>
      <c r="D59" s="48"/>
      <c r="E59" s="49"/>
      <c r="F59" s="25"/>
      <c r="G59" s="26"/>
      <c r="H59" s="26"/>
      <c r="I59" s="25"/>
      <c r="J59" s="25"/>
      <c r="K59" s="25"/>
      <c r="L59" s="25"/>
      <c r="M59" s="25"/>
      <c r="N59" s="25"/>
      <c r="O59" s="25"/>
    </row>
    <row r="60" spans="1:15" customFormat="1" ht="15.75" customHeight="1" x14ac:dyDescent="0.25">
      <c r="A60" s="25"/>
      <c r="B60" s="47" t="s">
        <v>96</v>
      </c>
      <c r="C60" s="47" t="s">
        <v>36</v>
      </c>
      <c r="D60" s="48"/>
      <c r="E60" s="49"/>
      <c r="F60" s="25"/>
      <c r="G60" s="26"/>
      <c r="H60" s="26"/>
      <c r="I60" s="25"/>
      <c r="J60" s="25"/>
      <c r="K60" s="25"/>
      <c r="L60" s="25"/>
      <c r="M60" s="25"/>
      <c r="N60" s="25"/>
      <c r="O60" s="25"/>
    </row>
    <row r="61" spans="1:15" customFormat="1" ht="15.75" customHeight="1" x14ac:dyDescent="0.25">
      <c r="A61" s="25"/>
      <c r="B61" s="47" t="s">
        <v>98</v>
      </c>
      <c r="C61" s="47" t="s">
        <v>37</v>
      </c>
      <c r="D61" s="48"/>
      <c r="E61" s="49"/>
      <c r="F61" s="25"/>
      <c r="G61" s="26"/>
      <c r="H61" s="26"/>
      <c r="I61" s="25"/>
      <c r="J61" s="25"/>
      <c r="K61" s="25"/>
      <c r="L61" s="25"/>
      <c r="M61" s="25"/>
      <c r="N61" s="25"/>
      <c r="O61" s="25"/>
    </row>
    <row r="62" spans="1:15" customFormat="1" ht="15.75" customHeight="1" x14ac:dyDescent="0.25">
      <c r="A62" s="25"/>
      <c r="B62" s="47" t="s">
        <v>99</v>
      </c>
      <c r="C62" s="47" t="s">
        <v>37</v>
      </c>
      <c r="D62" s="48"/>
      <c r="E62" s="49"/>
      <c r="F62" s="25"/>
      <c r="G62" s="26"/>
      <c r="H62" s="26"/>
      <c r="I62" s="25"/>
      <c r="J62" s="25"/>
      <c r="K62" s="25"/>
      <c r="L62" s="25"/>
      <c r="M62" s="25"/>
      <c r="N62" s="25"/>
      <c r="O62" s="25"/>
    </row>
    <row r="63" spans="1:15" customFormat="1" ht="15.75" customHeight="1" x14ac:dyDescent="0.25">
      <c r="A63" s="25"/>
      <c r="B63" s="47" t="s">
        <v>100</v>
      </c>
      <c r="C63" s="47" t="s">
        <v>34</v>
      </c>
      <c r="D63" s="48"/>
      <c r="E63" s="49"/>
      <c r="F63" s="25"/>
      <c r="G63" s="26"/>
      <c r="H63" s="26"/>
      <c r="I63" s="25"/>
      <c r="J63" s="25"/>
      <c r="K63" s="25"/>
      <c r="L63" s="25"/>
      <c r="M63" s="25"/>
      <c r="N63" s="25"/>
      <c r="O63" s="25"/>
    </row>
    <row r="64" spans="1:15" customFormat="1" ht="15.75" customHeight="1" x14ac:dyDescent="0.25">
      <c r="A64" s="25"/>
      <c r="B64" s="47" t="s">
        <v>101</v>
      </c>
      <c r="C64" s="47" t="s">
        <v>36</v>
      </c>
      <c r="D64" s="48"/>
      <c r="E64" s="49"/>
      <c r="F64" s="25"/>
      <c r="G64" s="26"/>
      <c r="H64" s="26"/>
      <c r="I64" s="25"/>
      <c r="J64" s="25"/>
      <c r="K64" s="25"/>
      <c r="L64" s="25"/>
      <c r="M64" s="25"/>
      <c r="N64" s="25"/>
      <c r="O64" s="25"/>
    </row>
    <row r="65" spans="1:21" customFormat="1" ht="15.75" customHeight="1" x14ac:dyDescent="0.25">
      <c r="A65" s="25"/>
      <c r="B65" s="47" t="s">
        <v>102</v>
      </c>
      <c r="C65" s="47" t="s">
        <v>36</v>
      </c>
      <c r="D65" s="48"/>
      <c r="E65" s="49"/>
      <c r="F65" s="25"/>
      <c r="G65" s="26"/>
      <c r="H65" s="26"/>
      <c r="I65" s="25"/>
      <c r="J65" s="25"/>
      <c r="K65" s="25"/>
      <c r="L65" s="25"/>
      <c r="M65" s="25"/>
      <c r="N65" s="25"/>
      <c r="O65" s="25"/>
    </row>
    <row r="66" spans="1:21" customFormat="1" ht="15.75" customHeight="1" x14ac:dyDescent="0.25">
      <c r="A66" s="25"/>
      <c r="B66" s="47" t="s">
        <v>103</v>
      </c>
      <c r="C66" s="47" t="s">
        <v>37</v>
      </c>
      <c r="D66" s="48"/>
      <c r="E66" s="49"/>
      <c r="F66" s="25"/>
      <c r="G66" s="26"/>
      <c r="H66" s="26"/>
      <c r="I66" s="25"/>
      <c r="J66" s="25"/>
      <c r="K66" s="25"/>
      <c r="L66" s="25"/>
      <c r="M66" s="25"/>
      <c r="N66" s="25"/>
      <c r="O66" s="25"/>
    </row>
    <row r="67" spans="1:21" customFormat="1" ht="15.75" customHeight="1" x14ac:dyDescent="0.25">
      <c r="A67" s="25"/>
      <c r="B67" s="47" t="s">
        <v>104</v>
      </c>
      <c r="C67" s="47" t="s">
        <v>37</v>
      </c>
      <c r="D67" s="48"/>
      <c r="E67" s="49"/>
      <c r="F67" s="25"/>
      <c r="G67" s="26"/>
      <c r="H67" s="26"/>
      <c r="I67" s="25"/>
      <c r="J67" s="25"/>
      <c r="K67" s="25"/>
      <c r="L67" s="25"/>
      <c r="M67" s="25"/>
      <c r="N67" s="25"/>
      <c r="O67" s="25"/>
    </row>
    <row r="68" spans="1:21" customFormat="1" ht="15.75" customHeight="1" x14ac:dyDescent="0.25">
      <c r="A68" s="25"/>
      <c r="B68" s="47" t="s">
        <v>105</v>
      </c>
      <c r="C68" s="47" t="s">
        <v>37</v>
      </c>
      <c r="D68" s="48"/>
      <c r="E68" s="49"/>
      <c r="F68" s="25"/>
      <c r="G68" s="26"/>
      <c r="H68" s="26"/>
      <c r="I68" s="25"/>
      <c r="J68" s="25"/>
      <c r="K68" s="25"/>
      <c r="L68" s="25"/>
      <c r="M68" s="25"/>
      <c r="N68" s="25"/>
      <c r="O68" s="25"/>
    </row>
    <row r="69" spans="1:21" customFormat="1" ht="15.75" customHeight="1" x14ac:dyDescent="0.25">
      <c r="A69" s="25"/>
      <c r="B69" s="47" t="s">
        <v>106</v>
      </c>
      <c r="C69" s="47" t="s">
        <v>36</v>
      </c>
      <c r="D69" s="48"/>
      <c r="E69" s="49"/>
      <c r="F69" s="25"/>
      <c r="G69" s="26"/>
      <c r="H69" s="26"/>
      <c r="I69" s="25"/>
      <c r="J69" s="25"/>
      <c r="K69" s="25"/>
      <c r="L69" s="25"/>
      <c r="M69" s="25"/>
      <c r="N69" s="25"/>
      <c r="O69" s="25"/>
    </row>
    <row r="70" spans="1:21" customFormat="1" ht="15.75" customHeight="1" x14ac:dyDescent="0.25">
      <c r="A70" s="25"/>
      <c r="B70" s="47" t="s">
        <v>171</v>
      </c>
      <c r="C70" s="47" t="s">
        <v>35</v>
      </c>
      <c r="D70" s="48"/>
      <c r="E70" s="49"/>
      <c r="F70" s="25"/>
      <c r="G70" s="26"/>
      <c r="H70" s="26"/>
      <c r="I70" s="25"/>
      <c r="J70" s="25"/>
      <c r="K70" s="25"/>
      <c r="L70" s="25"/>
      <c r="M70" s="25"/>
      <c r="N70" s="25"/>
      <c r="O70" s="25"/>
    </row>
    <row r="71" spans="1:21" customFormat="1" ht="15.75" customHeight="1" x14ac:dyDescent="0.25">
      <c r="A71" s="25"/>
      <c r="B71" s="103" t="s">
        <v>193</v>
      </c>
      <c r="C71" s="47" t="s">
        <v>37</v>
      </c>
      <c r="D71" s="48"/>
      <c r="E71" s="104" t="s">
        <v>194</v>
      </c>
      <c r="F71" s="25"/>
      <c r="G71" s="26"/>
      <c r="H71" s="26"/>
      <c r="I71" s="25"/>
      <c r="J71" s="25"/>
      <c r="K71" s="25"/>
      <c r="L71" s="25"/>
      <c r="M71" s="25"/>
      <c r="N71" s="25"/>
      <c r="O71" s="25"/>
    </row>
    <row r="72" spans="1:21" customFormat="1" ht="15.75" customHeight="1" x14ac:dyDescent="0.25">
      <c r="A72" s="25"/>
      <c r="B72" s="103" t="s">
        <v>193</v>
      </c>
      <c r="C72" s="47" t="s">
        <v>35</v>
      </c>
      <c r="D72" s="48"/>
      <c r="E72" s="104" t="s">
        <v>194</v>
      </c>
      <c r="F72" s="25"/>
      <c r="G72" s="26"/>
      <c r="H72" s="26"/>
      <c r="I72" s="25"/>
      <c r="J72" s="25"/>
      <c r="K72" s="25"/>
      <c r="L72" s="25"/>
      <c r="M72" s="25"/>
      <c r="N72" s="25"/>
      <c r="O72" s="25"/>
    </row>
    <row r="73" spans="1:21" customFormat="1" ht="15.75" customHeight="1" x14ac:dyDescent="0.25">
      <c r="A73" s="25"/>
      <c r="B73" s="103" t="s">
        <v>193</v>
      </c>
      <c r="C73" s="47" t="s">
        <v>34</v>
      </c>
      <c r="D73" s="48"/>
      <c r="E73" s="104" t="s">
        <v>194</v>
      </c>
      <c r="F73" s="25"/>
      <c r="G73" s="26"/>
      <c r="H73" s="26"/>
      <c r="I73" s="25"/>
      <c r="J73" s="25"/>
      <c r="K73" s="25"/>
      <c r="L73" s="25"/>
      <c r="M73" s="25"/>
      <c r="N73" s="25"/>
      <c r="O73" s="25"/>
    </row>
    <row r="74" spans="1:21" customFormat="1" ht="15.75" customHeight="1" x14ac:dyDescent="0.25">
      <c r="A74" s="25"/>
      <c r="B74" s="103" t="s">
        <v>193</v>
      </c>
      <c r="C74" s="47" t="s">
        <v>36</v>
      </c>
      <c r="D74" s="48"/>
      <c r="E74" s="104" t="s">
        <v>194</v>
      </c>
      <c r="F74" s="25"/>
      <c r="G74" s="26"/>
      <c r="H74" s="26"/>
      <c r="I74" s="25"/>
      <c r="J74" s="25"/>
      <c r="K74" s="25"/>
      <c r="L74" s="25"/>
      <c r="M74" s="25"/>
      <c r="N74" s="25"/>
      <c r="O74" s="25"/>
    </row>
    <row r="75" spans="1:21" customFormat="1" ht="15.75" customHeight="1" x14ac:dyDescent="0.25">
      <c r="A75" s="25"/>
      <c r="B75" s="103" t="s">
        <v>193</v>
      </c>
      <c r="C75" s="47" t="s">
        <v>38</v>
      </c>
      <c r="D75" s="48"/>
      <c r="E75" s="104" t="s">
        <v>194</v>
      </c>
      <c r="F75" s="25"/>
      <c r="G75" s="26"/>
      <c r="H75" s="26"/>
      <c r="I75" s="25"/>
      <c r="J75" s="25"/>
      <c r="K75" s="25"/>
      <c r="L75" s="25"/>
      <c r="M75" s="25"/>
      <c r="N75" s="25"/>
      <c r="O75" s="25"/>
    </row>
    <row r="76" spans="1:21" customFormat="1" ht="15.75" customHeight="1" x14ac:dyDescent="0.25">
      <c r="A76" s="25"/>
      <c r="B76" s="25"/>
      <c r="C76" s="25"/>
      <c r="D76" s="25"/>
      <c r="E76" s="26"/>
      <c r="F76" s="26"/>
      <c r="G76" s="25"/>
      <c r="H76" s="25"/>
      <c r="I76" s="25"/>
      <c r="J76" s="25"/>
      <c r="K76" s="25"/>
      <c r="L76" s="25"/>
      <c r="M76" s="25"/>
    </row>
    <row r="77" spans="1:21" customFormat="1" ht="5.0999999999999996" customHeight="1" x14ac:dyDescent="0.25">
      <c r="A77" s="25"/>
      <c r="B77" s="25"/>
      <c r="C77" s="25"/>
      <c r="D77" s="25"/>
      <c r="E77" s="26"/>
      <c r="F77" s="26"/>
      <c r="G77" s="25"/>
      <c r="H77" s="25"/>
      <c r="I77" s="25"/>
      <c r="J77" s="25"/>
      <c r="K77" s="25"/>
      <c r="L77" s="25"/>
      <c r="M77" s="25"/>
    </row>
    <row r="78" spans="1:21" x14ac:dyDescent="0.2">
      <c r="A78" s="71" t="s">
        <v>295</v>
      </c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8"/>
      <c r="M78" s="70"/>
    </row>
    <row r="79" spans="1:21" s="25" customFormat="1" ht="15" x14ac:dyDescent="0.25">
      <c r="B79" s="27"/>
      <c r="E79" s="26"/>
      <c r="F79" s="26"/>
      <c r="N79"/>
      <c r="O79"/>
      <c r="P79"/>
      <c r="Q79"/>
      <c r="R79"/>
      <c r="S79"/>
      <c r="T79"/>
    </row>
    <row r="80" spans="1:21" s="25" customFormat="1" ht="27" x14ac:dyDescent="0.25">
      <c r="B80" s="43" t="s">
        <v>50</v>
      </c>
      <c r="C80" s="43" t="s">
        <v>175</v>
      </c>
      <c r="D80" s="80" t="s">
        <v>160</v>
      </c>
      <c r="E80" s="44" t="s">
        <v>161</v>
      </c>
      <c r="F80" s="44" t="s">
        <v>300</v>
      </c>
      <c r="G80" s="44" t="s">
        <v>294</v>
      </c>
      <c r="H80" s="45" t="s">
        <v>274</v>
      </c>
      <c r="I80" s="46" t="s">
        <v>168</v>
      </c>
      <c r="J80" s="46" t="s">
        <v>33</v>
      </c>
      <c r="O80"/>
      <c r="P80"/>
      <c r="Q80"/>
      <c r="R80"/>
      <c r="S80"/>
      <c r="T80"/>
      <c r="U80"/>
    </row>
    <row r="81" spans="1:21" s="25" customFormat="1" ht="15" x14ac:dyDescent="0.25">
      <c r="B81" s="47" t="s">
        <v>174</v>
      </c>
      <c r="C81" s="47" t="s">
        <v>65</v>
      </c>
      <c r="D81" s="49">
        <f>SUMIFS(Tabelle37[Anzahl Flüge],Tabelle37[Region (Zuordnung)],Flugreisen_Scop33[[#This Row],[Zielland]])</f>
        <v>0</v>
      </c>
      <c r="E81" s="49">
        <v>800</v>
      </c>
      <c r="F81" s="49">
        <f>D81*Flugreisen_Scop33[[#This Row],[Annahme Entfernung 
(km / Jahr)]]*2</f>
        <v>0</v>
      </c>
      <c r="G81" s="50">
        <v>0.214</v>
      </c>
      <c r="H81" s="51">
        <f t="shared" ref="H81:H86" si="0">+F81*G81</f>
        <v>0</v>
      </c>
      <c r="I81" s="192" t="s">
        <v>166</v>
      </c>
      <c r="J81" s="52" t="s">
        <v>179</v>
      </c>
      <c r="O81"/>
      <c r="P81"/>
      <c r="Q81"/>
      <c r="R81"/>
      <c r="S81"/>
      <c r="T81"/>
      <c r="U81"/>
    </row>
    <row r="82" spans="1:21" s="25" customFormat="1" ht="15" x14ac:dyDescent="0.25">
      <c r="B82" s="47" t="s">
        <v>173</v>
      </c>
      <c r="C82" s="47" t="s">
        <v>37</v>
      </c>
      <c r="D82" s="49">
        <f>SUMIFS(Tabelle37[Anzahl Flüge],Tabelle37[Region (Zuordnung)],Flugreisen_Scop33[[#This Row],[Zielland]])</f>
        <v>0</v>
      </c>
      <c r="E82" s="49">
        <v>1500</v>
      </c>
      <c r="F82" s="49">
        <f>D82*Flugreisen_Scop33[[#This Row],[Annahme Entfernung 
(km / Jahr)]]*2</f>
        <v>0</v>
      </c>
      <c r="G82" s="50">
        <v>0.25871740161073831</v>
      </c>
      <c r="H82" s="51">
        <f t="shared" si="0"/>
        <v>0</v>
      </c>
      <c r="I82" s="192" t="s">
        <v>165</v>
      </c>
      <c r="J82" s="52" t="s">
        <v>179</v>
      </c>
      <c r="O82"/>
      <c r="P82"/>
      <c r="Q82"/>
      <c r="R82"/>
      <c r="S82"/>
      <c r="T82"/>
      <c r="U82"/>
    </row>
    <row r="83" spans="1:21" s="25" customFormat="1" ht="15" x14ac:dyDescent="0.25">
      <c r="B83" s="47" t="s">
        <v>173</v>
      </c>
      <c r="C83" s="47" t="s">
        <v>35</v>
      </c>
      <c r="D83" s="49">
        <f>SUMIFS(Tabelle37[Anzahl Flüge],Tabelle37[Region (Zuordnung)],Flugreisen_Scop33[[#This Row],[Zielland]])</f>
        <v>0</v>
      </c>
      <c r="E83" s="49">
        <v>8000</v>
      </c>
      <c r="F83" s="49">
        <f>D83*Flugreisen_Scop33[[#This Row],[Annahme Entfernung 
(km / Jahr)]]*2</f>
        <v>0</v>
      </c>
      <c r="G83" s="50">
        <v>0.32537799150830105</v>
      </c>
      <c r="H83" s="51">
        <f t="shared" si="0"/>
        <v>0</v>
      </c>
      <c r="I83" s="192" t="s">
        <v>163</v>
      </c>
      <c r="J83" s="52" t="s">
        <v>179</v>
      </c>
      <c r="O83"/>
      <c r="P83"/>
      <c r="Q83"/>
      <c r="R83"/>
      <c r="S83"/>
      <c r="T83"/>
      <c r="U83"/>
    </row>
    <row r="84" spans="1:21" s="25" customFormat="1" ht="15" x14ac:dyDescent="0.25">
      <c r="B84" s="47" t="s">
        <v>173</v>
      </c>
      <c r="C84" s="47" t="s">
        <v>34</v>
      </c>
      <c r="D84" s="49">
        <f>SUMIFS(Tabelle37[Anzahl Flüge],Tabelle37[Region (Zuordnung)],Flugreisen_Scop33[[#This Row],[Zielland]])</f>
        <v>0</v>
      </c>
      <c r="E84" s="49">
        <v>14000</v>
      </c>
      <c r="F84" s="49">
        <f>D84*Flugreisen_Scop33[[#This Row],[Annahme Entfernung 
(km / Jahr)]]*2</f>
        <v>0</v>
      </c>
      <c r="G84" s="50">
        <v>0.32537799150830105</v>
      </c>
      <c r="H84" s="51">
        <f t="shared" si="0"/>
        <v>0</v>
      </c>
      <c r="I84" s="192" t="s">
        <v>164</v>
      </c>
      <c r="J84" s="52" t="s">
        <v>179</v>
      </c>
      <c r="O84"/>
      <c r="P84"/>
      <c r="Q84"/>
      <c r="R84"/>
      <c r="S84"/>
      <c r="T84"/>
      <c r="U84"/>
    </row>
    <row r="85" spans="1:21" s="25" customFormat="1" ht="15" x14ac:dyDescent="0.25">
      <c r="B85" s="47" t="s">
        <v>173</v>
      </c>
      <c r="C85" s="47" t="s">
        <v>36</v>
      </c>
      <c r="D85" s="49">
        <f>SUMIFS(Tabelle37[Anzahl Flüge],Tabelle37[Region (Zuordnung)],Flugreisen_Scop33[[#This Row],[Zielland]])</f>
        <v>0</v>
      </c>
      <c r="E85" s="49">
        <v>10000</v>
      </c>
      <c r="F85" s="49">
        <f>D85*Flugreisen_Scop33[[#This Row],[Annahme Entfernung 
(km / Jahr)]]*2</f>
        <v>0</v>
      </c>
      <c r="G85" s="50">
        <v>0.32537799150830105</v>
      </c>
      <c r="H85" s="51">
        <f>+F85*G85</f>
        <v>0</v>
      </c>
      <c r="I85" s="192" t="s">
        <v>167</v>
      </c>
      <c r="J85" s="52" t="s">
        <v>179</v>
      </c>
      <c r="O85"/>
      <c r="P85"/>
      <c r="Q85"/>
      <c r="R85"/>
      <c r="S85"/>
      <c r="T85"/>
      <c r="U85"/>
    </row>
    <row r="86" spans="1:21" s="25" customFormat="1" ht="15" x14ac:dyDescent="0.25">
      <c r="B86" s="47" t="s">
        <v>173</v>
      </c>
      <c r="C86" s="47" t="s">
        <v>38</v>
      </c>
      <c r="D86" s="49">
        <f>SUMIFS(Tabelle37[Anzahl Flüge],Tabelle37[Region (Zuordnung)],Flugreisen_Scop33[[#This Row],[Zielland]])</f>
        <v>0</v>
      </c>
      <c r="E86" s="49">
        <v>17000</v>
      </c>
      <c r="F86" s="49">
        <f>D86*Flugreisen_Scop33[[#This Row],[Annahme Entfernung 
(km / Jahr)]]*2</f>
        <v>0</v>
      </c>
      <c r="G86" s="50">
        <v>0.32537799150830105</v>
      </c>
      <c r="H86" s="51">
        <f t="shared" si="0"/>
        <v>0</v>
      </c>
      <c r="I86" s="192" t="s">
        <v>169</v>
      </c>
      <c r="J86" s="52" t="s">
        <v>179</v>
      </c>
      <c r="O86"/>
      <c r="P86"/>
      <c r="Q86"/>
      <c r="R86"/>
      <c r="S86"/>
      <c r="T86"/>
      <c r="U86"/>
    </row>
    <row r="87" spans="1:21" s="25" customFormat="1" ht="15" x14ac:dyDescent="0.25">
      <c r="B87" s="53" t="s">
        <v>52</v>
      </c>
      <c r="C87" s="54"/>
      <c r="D87" s="54">
        <f>SUBTOTAL(109,Flugreisen_Scop33[Anzahl Flüge])</f>
        <v>0</v>
      </c>
      <c r="E87" s="54"/>
      <c r="F87" s="55">
        <f>SUM(Flugreisen_Scop33[Hin- &amp; Rückflug (km / Jahr)])</f>
        <v>0</v>
      </c>
      <c r="G87" s="2"/>
      <c r="H87" s="56">
        <f>SUBTOTAL(109,Flugreisen_Scop33[Ergebnis 
(kg CO2e / Jahr)])</f>
        <v>0</v>
      </c>
      <c r="I87" s="2"/>
      <c r="J87" s="2"/>
      <c r="O87"/>
      <c r="P87"/>
      <c r="Q87"/>
      <c r="R87"/>
      <c r="S87"/>
      <c r="T87"/>
      <c r="U87"/>
    </row>
    <row r="88" spans="1:21" s="25" customFormat="1" ht="15" x14ac:dyDescent="0.25">
      <c r="E88" s="26"/>
      <c r="F88" s="26"/>
      <c r="N88"/>
      <c r="O88"/>
      <c r="P88"/>
      <c r="Q88"/>
      <c r="R88"/>
      <c r="S88"/>
      <c r="T88"/>
    </row>
    <row r="89" spans="1:21" s="25" customFormat="1" ht="5.0999999999999996" customHeight="1" x14ac:dyDescent="0.25">
      <c r="E89" s="26"/>
      <c r="F89" s="26"/>
      <c r="N89"/>
      <c r="O89"/>
      <c r="P89"/>
      <c r="Q89"/>
      <c r="R89"/>
      <c r="S89"/>
      <c r="T89"/>
    </row>
    <row r="90" spans="1:21" x14ac:dyDescent="0.2">
      <c r="A90" s="71" t="s">
        <v>255</v>
      </c>
      <c r="B90" s="68"/>
      <c r="C90" s="68"/>
      <c r="D90" s="69"/>
      <c r="E90" s="69"/>
      <c r="F90" s="69"/>
      <c r="G90" s="69"/>
      <c r="H90" s="69"/>
      <c r="I90" s="69"/>
      <c r="J90" s="69"/>
      <c r="K90" s="69"/>
      <c r="L90" s="68"/>
      <c r="M90" s="70"/>
    </row>
    <row r="91" spans="1:21" x14ac:dyDescent="0.2">
      <c r="B91" s="52"/>
      <c r="C91" s="72"/>
      <c r="D91" s="72"/>
      <c r="E91" s="72"/>
      <c r="F91" s="72"/>
    </row>
    <row r="92" spans="1:21" ht="27" x14ac:dyDescent="0.25">
      <c r="B92" s="43" t="s">
        <v>188</v>
      </c>
      <c r="C92" s="73" t="s">
        <v>181</v>
      </c>
      <c r="D92" s="80" t="s">
        <v>180</v>
      </c>
      <c r="E92" s="44" t="s">
        <v>161</v>
      </c>
      <c r="F92" s="44" t="s">
        <v>51</v>
      </c>
      <c r="G92" s="44" t="s">
        <v>294</v>
      </c>
      <c r="H92" s="45" t="s">
        <v>274</v>
      </c>
      <c r="I92" s="46" t="s">
        <v>168</v>
      </c>
      <c r="J92" s="46" t="s">
        <v>33</v>
      </c>
    </row>
    <row r="93" spans="1:21" x14ac:dyDescent="0.2">
      <c r="B93" s="47" t="s">
        <v>54</v>
      </c>
      <c r="C93" s="47" t="s">
        <v>182</v>
      </c>
      <c r="D93" s="81"/>
      <c r="E93" s="49">
        <v>80</v>
      </c>
      <c r="F93" s="74">
        <f>E93*2</f>
        <v>160</v>
      </c>
      <c r="G93" s="75">
        <v>5.0999999999999997E-2</v>
      </c>
      <c r="H93" s="76">
        <f>Landreisen_Scope3[[#This Row],[Anzahl Reisen]]*Landreisen_Scope3[[#This Row],[Hin- &amp; Rückfahrt (km / Jahr)]]*Landreisen_Scope3[[#This Row],[Emissionsfaktor 
(kg CO2e / Pkm) ]]</f>
        <v>0</v>
      </c>
      <c r="I93" s="52" t="s">
        <v>302</v>
      </c>
      <c r="J93" s="52"/>
    </row>
    <row r="94" spans="1:21" x14ac:dyDescent="0.2">
      <c r="B94" s="47" t="s">
        <v>55</v>
      </c>
      <c r="C94" s="47" t="s">
        <v>183</v>
      </c>
      <c r="D94" s="82"/>
      <c r="E94" s="49">
        <v>400</v>
      </c>
      <c r="F94" s="49">
        <f>E94*2</f>
        <v>800</v>
      </c>
      <c r="G94" s="77">
        <v>2.7E-2</v>
      </c>
      <c r="H94" s="76">
        <f>Landreisen_Scope3[[#This Row],[Anzahl Reisen]]*Landreisen_Scope3[[#This Row],[Hin- &amp; Rückfahrt (km / Jahr)]]*Landreisen_Scope3[[#This Row],[Emissionsfaktor 
(kg CO2e / Pkm) ]]</f>
        <v>0</v>
      </c>
      <c r="I94" s="52" t="s">
        <v>301</v>
      </c>
      <c r="J94" s="52"/>
    </row>
    <row r="95" spans="1:21" x14ac:dyDescent="0.2">
      <c r="B95" s="78" t="s">
        <v>187</v>
      </c>
      <c r="C95" s="78"/>
      <c r="D95" s="3">
        <f>SUBTOTAL(109,Landreisen_Scope3[Bahnreisen])</f>
        <v>0</v>
      </c>
      <c r="E95" s="3">
        <f>SUBTOTAL(109,Landreisen_Scope3[Typ])</f>
        <v>0</v>
      </c>
      <c r="F95" s="55">
        <f>SUM(Landreisen_Scope3[Anzahl Reisen])</f>
        <v>0</v>
      </c>
      <c r="G95" s="2"/>
      <c r="H95" s="56">
        <f>SUBTOTAL(109,Landreisen_Scope3[Ergebnis 
(kg CO2e / Jahr)])</f>
        <v>0</v>
      </c>
      <c r="I95" s="2"/>
      <c r="J95" s="2"/>
    </row>
    <row r="96" spans="1:21" x14ac:dyDescent="0.2">
      <c r="B96" s="52"/>
      <c r="C96" s="52"/>
      <c r="D96" s="52"/>
      <c r="E96" s="72"/>
      <c r="F96" s="72"/>
    </row>
    <row r="97" spans="1:21" ht="5.0999999999999996" customHeight="1" x14ac:dyDescent="0.2">
      <c r="B97" s="52"/>
      <c r="C97" s="52"/>
      <c r="D97" s="52"/>
      <c r="E97" s="72"/>
      <c r="F97" s="72"/>
    </row>
    <row r="98" spans="1:21" x14ac:dyDescent="0.2">
      <c r="A98" s="71" t="s">
        <v>254</v>
      </c>
      <c r="B98" s="68"/>
      <c r="C98" s="68"/>
      <c r="D98" s="69"/>
      <c r="E98" s="69"/>
      <c r="F98" s="69"/>
      <c r="G98" s="69"/>
      <c r="H98" s="69"/>
      <c r="I98" s="69"/>
      <c r="J98" s="69"/>
      <c r="K98" s="69"/>
      <c r="L98" s="68"/>
      <c r="M98" s="70"/>
    </row>
    <row r="99" spans="1:21" x14ac:dyDescent="0.2">
      <c r="B99" s="52"/>
      <c r="C99" s="52"/>
      <c r="D99" s="52"/>
      <c r="E99" s="72"/>
      <c r="F99" s="72"/>
    </row>
    <row r="100" spans="1:21" ht="27" x14ac:dyDescent="0.25">
      <c r="B100" s="43" t="s">
        <v>53</v>
      </c>
      <c r="C100" s="91" t="s">
        <v>181</v>
      </c>
      <c r="D100" s="80" t="s">
        <v>185</v>
      </c>
      <c r="E100" s="44" t="s">
        <v>161</v>
      </c>
      <c r="F100" s="44" t="s">
        <v>51</v>
      </c>
      <c r="G100" s="44" t="s">
        <v>294</v>
      </c>
      <c r="H100" s="45" t="s">
        <v>274</v>
      </c>
      <c r="I100" s="46" t="s">
        <v>168</v>
      </c>
      <c r="J100" s="92" t="s">
        <v>33</v>
      </c>
    </row>
    <row r="101" spans="1:21" x14ac:dyDescent="0.2">
      <c r="B101" s="79" t="s">
        <v>109</v>
      </c>
      <c r="C101" s="79" t="s">
        <v>184</v>
      </c>
      <c r="D101" s="83"/>
      <c r="E101" s="37"/>
      <c r="F101" s="37"/>
      <c r="G101" s="57">
        <v>0.16400000000000001</v>
      </c>
      <c r="H101" s="51">
        <f>Tabelle8[Gefahrene Kilometer]*Tabelle8[Emissionsfaktor 
(kg CO2e / Pkm) ]</f>
        <v>0</v>
      </c>
      <c r="I101" s="84"/>
      <c r="J101" s="84" t="s">
        <v>179</v>
      </c>
    </row>
    <row r="102" spans="1:21" customFormat="1" ht="15" x14ac:dyDescent="0.25">
      <c r="B102" s="99" t="s">
        <v>186</v>
      </c>
      <c r="C102" s="97"/>
      <c r="D102" s="97"/>
      <c r="E102" s="97"/>
      <c r="F102" s="97"/>
      <c r="G102" s="97"/>
      <c r="H102" s="56">
        <f>SUBTOTAL(109,Tabelle8[Ergebnis 
(kg CO2e / Jahr)])</f>
        <v>0</v>
      </c>
      <c r="I102" s="95"/>
      <c r="J102" s="95"/>
    </row>
    <row r="103" spans="1:21" ht="15" x14ac:dyDescent="0.25">
      <c r="B103"/>
      <c r="C103"/>
      <c r="D103"/>
      <c r="E103"/>
      <c r="F103"/>
      <c r="G103"/>
      <c r="H103"/>
      <c r="I103"/>
      <c r="J103"/>
    </row>
    <row r="104" spans="1:21" ht="5.0999999999999996" customHeight="1" x14ac:dyDescent="0.25">
      <c r="B104"/>
      <c r="C104"/>
      <c r="D104"/>
      <c r="E104"/>
      <c r="F104"/>
      <c r="G104"/>
      <c r="H104"/>
      <c r="I104"/>
      <c r="J104"/>
    </row>
    <row r="105" spans="1:21" s="68" customFormat="1" x14ac:dyDescent="0.2">
      <c r="A105" s="67" t="s">
        <v>296</v>
      </c>
      <c r="B105" s="100"/>
      <c r="C105" s="100"/>
      <c r="D105" s="100"/>
      <c r="E105" s="101"/>
      <c r="F105" s="101"/>
      <c r="K105" s="69"/>
      <c r="M105" s="70"/>
    </row>
    <row r="106" spans="1:21" x14ac:dyDescent="0.2">
      <c r="B106" s="52"/>
      <c r="C106" s="52"/>
      <c r="D106" s="52"/>
      <c r="E106" s="72"/>
      <c r="F106" s="72"/>
    </row>
    <row r="107" spans="1:21" s="25" customFormat="1" ht="27" x14ac:dyDescent="0.25">
      <c r="B107" s="90" t="s">
        <v>53</v>
      </c>
      <c r="C107" s="91" t="s">
        <v>151</v>
      </c>
      <c r="D107" s="80" t="s">
        <v>176</v>
      </c>
      <c r="E107" s="44" t="s">
        <v>189</v>
      </c>
      <c r="F107" s="96" t="s">
        <v>195</v>
      </c>
      <c r="G107" s="96" t="s">
        <v>196</v>
      </c>
      <c r="H107" s="45" t="s">
        <v>274</v>
      </c>
      <c r="I107" s="46" t="s">
        <v>168</v>
      </c>
      <c r="J107" s="92" t="s">
        <v>33</v>
      </c>
      <c r="O107"/>
      <c r="P107"/>
      <c r="Q107"/>
      <c r="R107"/>
      <c r="S107"/>
      <c r="T107"/>
      <c r="U107"/>
    </row>
    <row r="108" spans="1:21" x14ac:dyDescent="0.2">
      <c r="B108" s="53" t="s">
        <v>52</v>
      </c>
      <c r="C108" s="37"/>
      <c r="D108" s="102">
        <f>Flugreisen_Scop33[[#Totals],[Anzahl Flüge]]</f>
        <v>0</v>
      </c>
      <c r="E108" s="54" t="s">
        <v>190</v>
      </c>
      <c r="F108" s="37"/>
      <c r="G108" s="37"/>
      <c r="H108" s="56">
        <f>Flugreisen_Scop33[[#Totals],[Ergebnis 
(kg CO2e / Jahr)]]</f>
        <v>0</v>
      </c>
      <c r="I108" s="2"/>
      <c r="J108" s="89"/>
    </row>
    <row r="109" spans="1:21" x14ac:dyDescent="0.2">
      <c r="B109" s="78" t="s">
        <v>187</v>
      </c>
      <c r="C109" s="37"/>
      <c r="D109" s="102">
        <f>Landreisen_Scope3[[#Totals],[Anzahl Reisen]]</f>
        <v>0</v>
      </c>
      <c r="E109" s="3" t="s">
        <v>188</v>
      </c>
      <c r="F109" s="37"/>
      <c r="G109" s="37"/>
      <c r="H109" s="56">
        <f>Landreisen_Scope3[[#Totals],[Ergebnis 
(kg CO2e / Jahr)]]</f>
        <v>0</v>
      </c>
      <c r="I109" s="2"/>
      <c r="J109" s="89"/>
    </row>
    <row r="110" spans="1:21" x14ac:dyDescent="0.2">
      <c r="B110" s="88" t="s">
        <v>186</v>
      </c>
      <c r="C110" s="37"/>
      <c r="D110" s="102">
        <f>Tabelle8[Gefahrene Kilometer]</f>
        <v>0</v>
      </c>
      <c r="E110" s="3" t="s">
        <v>153</v>
      </c>
      <c r="F110" s="37"/>
      <c r="G110" s="37"/>
      <c r="H110" s="51">
        <f>Tabelle8[[#Totals],[Ergebnis 
(kg CO2e / Jahr)]]</f>
        <v>0</v>
      </c>
      <c r="I110" s="2"/>
      <c r="J110" s="89"/>
    </row>
    <row r="111" spans="1:21" x14ac:dyDescent="0.2">
      <c r="B111" s="93" t="s">
        <v>191</v>
      </c>
      <c r="C111" s="94"/>
      <c r="D111" s="94"/>
      <c r="E111" s="94"/>
      <c r="F111" s="94"/>
      <c r="G111" s="94"/>
      <c r="H111" s="56">
        <f>SUBTOTAL(109,Tabelle7[Ergebnis 
(kg CO2e / Jahr)])</f>
        <v>0</v>
      </c>
      <c r="I111" s="2"/>
      <c r="J111" s="98"/>
    </row>
    <row r="112" spans="1:21" x14ac:dyDescent="0.2">
      <c r="B112" s="52"/>
      <c r="C112" s="52"/>
      <c r="D112" s="52"/>
      <c r="E112" s="72"/>
      <c r="F112" s="72"/>
    </row>
    <row r="113" spans="1:13" s="25" customFormat="1" ht="5.0999999999999996" customHeight="1" thickBot="1" x14ac:dyDescent="0.25">
      <c r="E113" s="26"/>
      <c r="F113" s="26"/>
    </row>
    <row r="114" spans="1:13" customFormat="1" ht="15.75" customHeight="1" thickBot="1" x14ac:dyDescent="0.3">
      <c r="A114" s="311" t="s">
        <v>258</v>
      </c>
      <c r="B114" s="312"/>
      <c r="C114" s="312"/>
      <c r="D114" s="312"/>
      <c r="E114" s="312"/>
      <c r="F114" s="312"/>
      <c r="G114" s="312"/>
      <c r="H114" s="312"/>
      <c r="I114" s="312"/>
      <c r="J114" s="312"/>
      <c r="K114" s="312"/>
      <c r="L114" s="312"/>
      <c r="M114" s="313"/>
    </row>
    <row r="115" spans="1:13" customFormat="1" ht="15.75" customHeight="1" x14ac:dyDescent="0.25">
      <c r="A115" s="25"/>
      <c r="B115" s="25"/>
      <c r="C115" s="25"/>
      <c r="D115" s="25"/>
      <c r="E115" s="26"/>
      <c r="F115" s="26"/>
      <c r="G115" s="25"/>
      <c r="H115" s="25"/>
      <c r="I115" s="25"/>
      <c r="J115" s="25"/>
      <c r="K115" s="25"/>
      <c r="L115" s="25"/>
      <c r="M115" s="25"/>
    </row>
    <row r="116" spans="1:13" s="68" customFormat="1" x14ac:dyDescent="0.2">
      <c r="A116" s="71" t="s">
        <v>293</v>
      </c>
      <c r="B116" s="100"/>
      <c r="C116" s="100"/>
      <c r="D116" s="100"/>
      <c r="E116" s="101"/>
      <c r="F116" s="101"/>
      <c r="K116" s="69"/>
      <c r="M116" s="70"/>
    </row>
    <row r="117" spans="1:13" x14ac:dyDescent="0.2">
      <c r="B117" s="52"/>
      <c r="C117" s="52"/>
      <c r="D117" s="52"/>
      <c r="E117" s="72"/>
      <c r="F117" s="72"/>
    </row>
    <row r="118" spans="1:13" x14ac:dyDescent="0.2">
      <c r="B118" s="86" t="s">
        <v>115</v>
      </c>
      <c r="C118" s="87"/>
      <c r="D118" s="105" t="s">
        <v>111</v>
      </c>
      <c r="E118" s="105"/>
      <c r="F118" s="105"/>
      <c r="G118" s="105"/>
      <c r="H118" s="105"/>
      <c r="I118" s="105"/>
    </row>
    <row r="119" spans="1:13" ht="27" x14ac:dyDescent="0.25">
      <c r="B119" s="106" t="s">
        <v>172</v>
      </c>
      <c r="C119" s="91" t="s">
        <v>151</v>
      </c>
      <c r="D119" s="107" t="s">
        <v>110</v>
      </c>
      <c r="E119" s="73" t="s">
        <v>195</v>
      </c>
      <c r="F119" s="44" t="s">
        <v>292</v>
      </c>
      <c r="G119" s="114" t="s">
        <v>196</v>
      </c>
      <c r="H119" s="45" t="s">
        <v>274</v>
      </c>
      <c r="I119" s="46" t="s">
        <v>197</v>
      </c>
    </row>
    <row r="120" spans="1:13" x14ac:dyDescent="0.2">
      <c r="B120" s="47" t="s">
        <v>56</v>
      </c>
      <c r="C120" s="2"/>
      <c r="D120" s="23"/>
      <c r="E120" s="2"/>
      <c r="F120" s="108">
        <v>14.071428571428571</v>
      </c>
      <c r="G120" s="2"/>
      <c r="H120" s="111">
        <f t="shared" ref="H120:H151" si="1">D120*F120</f>
        <v>0</v>
      </c>
      <c r="I120" s="113"/>
    </row>
    <row r="121" spans="1:13" x14ac:dyDescent="0.2">
      <c r="B121" s="47" t="s">
        <v>57</v>
      </c>
      <c r="C121" s="2"/>
      <c r="D121" s="23"/>
      <c r="E121" s="2"/>
      <c r="F121" s="108">
        <v>61.457894736842093</v>
      </c>
      <c r="G121" s="2"/>
      <c r="H121" s="76">
        <f t="shared" si="1"/>
        <v>0</v>
      </c>
      <c r="I121" s="113"/>
    </row>
    <row r="122" spans="1:13" x14ac:dyDescent="0.2">
      <c r="B122" s="47" t="s">
        <v>58</v>
      </c>
      <c r="C122" s="2"/>
      <c r="D122" s="23"/>
      <c r="E122" s="2"/>
      <c r="F122" s="108">
        <v>35</v>
      </c>
      <c r="G122" s="2"/>
      <c r="H122" s="76">
        <f t="shared" si="1"/>
        <v>0</v>
      </c>
      <c r="I122" s="113"/>
    </row>
    <row r="123" spans="1:13" x14ac:dyDescent="0.2">
      <c r="B123" s="47" t="s">
        <v>59</v>
      </c>
      <c r="C123" s="2"/>
      <c r="D123" s="23"/>
      <c r="E123" s="2"/>
      <c r="F123" s="108">
        <v>61.457894736842093</v>
      </c>
      <c r="G123" s="2"/>
      <c r="H123" s="76">
        <f t="shared" si="1"/>
        <v>0</v>
      </c>
      <c r="I123" s="113"/>
    </row>
    <row r="124" spans="1:13" x14ac:dyDescent="0.2">
      <c r="B124" s="47" t="s">
        <v>60</v>
      </c>
      <c r="C124" s="2"/>
      <c r="D124" s="23"/>
      <c r="E124" s="2"/>
      <c r="F124" s="108">
        <v>12.2</v>
      </c>
      <c r="G124" s="2"/>
      <c r="H124" s="76">
        <f t="shared" si="1"/>
        <v>0</v>
      </c>
      <c r="I124" s="113"/>
    </row>
    <row r="125" spans="1:13" x14ac:dyDescent="0.2">
      <c r="B125" s="47" t="s">
        <v>61</v>
      </c>
      <c r="C125" s="2"/>
      <c r="D125" s="23"/>
      <c r="E125" s="2"/>
      <c r="F125" s="108">
        <v>8.6999999999999993</v>
      </c>
      <c r="G125" s="2"/>
      <c r="H125" s="76">
        <f t="shared" si="1"/>
        <v>0</v>
      </c>
      <c r="I125" s="113"/>
    </row>
    <row r="126" spans="1:13" x14ac:dyDescent="0.2">
      <c r="B126" s="47" t="s">
        <v>62</v>
      </c>
      <c r="C126" s="2"/>
      <c r="D126" s="23"/>
      <c r="E126" s="2"/>
      <c r="F126" s="108">
        <v>53.5</v>
      </c>
      <c r="G126" s="2"/>
      <c r="H126" s="76">
        <f t="shared" si="1"/>
        <v>0</v>
      </c>
      <c r="I126" s="113"/>
    </row>
    <row r="127" spans="1:13" x14ac:dyDescent="0.2">
      <c r="B127" s="47" t="s">
        <v>63</v>
      </c>
      <c r="C127" s="2"/>
      <c r="D127" s="23"/>
      <c r="E127" s="2"/>
      <c r="F127" s="108">
        <v>4.7</v>
      </c>
      <c r="G127" s="2"/>
      <c r="H127" s="76">
        <f t="shared" si="1"/>
        <v>0</v>
      </c>
      <c r="I127" s="113"/>
    </row>
    <row r="128" spans="1:13" x14ac:dyDescent="0.2">
      <c r="B128" s="47" t="s">
        <v>64</v>
      </c>
      <c r="C128" s="2"/>
      <c r="D128" s="23"/>
      <c r="E128" s="2"/>
      <c r="F128" s="108">
        <v>11.577777777777776</v>
      </c>
      <c r="G128" s="2"/>
      <c r="H128" s="76">
        <f t="shared" si="1"/>
        <v>0</v>
      </c>
      <c r="I128" s="113"/>
    </row>
    <row r="129" spans="2:9" x14ac:dyDescent="0.2">
      <c r="B129" s="47" t="s">
        <v>65</v>
      </c>
      <c r="C129" s="2"/>
      <c r="D129" s="23"/>
      <c r="E129" s="2"/>
      <c r="F129" s="108">
        <v>13.2</v>
      </c>
      <c r="G129" s="2"/>
      <c r="H129" s="76">
        <f t="shared" si="1"/>
        <v>0</v>
      </c>
      <c r="I129" s="113"/>
    </row>
    <row r="130" spans="2:9" x14ac:dyDescent="0.2">
      <c r="B130" s="47" t="s">
        <v>66</v>
      </c>
      <c r="C130" s="2"/>
      <c r="D130" s="23"/>
      <c r="E130" s="2"/>
      <c r="F130" s="108">
        <v>11.577777777777776</v>
      </c>
      <c r="G130" s="2"/>
      <c r="H130" s="76">
        <f t="shared" si="1"/>
        <v>0</v>
      </c>
      <c r="I130" s="113"/>
    </row>
    <row r="131" spans="2:9" x14ac:dyDescent="0.2">
      <c r="B131" s="47" t="s">
        <v>67</v>
      </c>
      <c r="C131" s="2"/>
      <c r="D131" s="23"/>
      <c r="E131" s="2"/>
      <c r="F131" s="108">
        <v>6.7</v>
      </c>
      <c r="G131" s="2"/>
      <c r="H131" s="76">
        <f t="shared" si="1"/>
        <v>0</v>
      </c>
      <c r="I131" s="113"/>
    </row>
    <row r="132" spans="2:9" x14ac:dyDescent="0.2">
      <c r="B132" s="47" t="s">
        <v>68</v>
      </c>
      <c r="C132" s="2"/>
      <c r="D132" s="23"/>
      <c r="E132" s="2"/>
      <c r="F132" s="108">
        <v>11.577777777777776</v>
      </c>
      <c r="G132" s="2"/>
      <c r="H132" s="76">
        <f t="shared" si="1"/>
        <v>0</v>
      </c>
      <c r="I132" s="113"/>
    </row>
    <row r="133" spans="2:9" x14ac:dyDescent="0.2">
      <c r="B133" s="47" t="s">
        <v>69</v>
      </c>
      <c r="C133" s="2"/>
      <c r="D133" s="23"/>
      <c r="E133" s="2"/>
      <c r="F133" s="108">
        <v>58.9</v>
      </c>
      <c r="G133" s="2"/>
      <c r="H133" s="76">
        <f t="shared" si="1"/>
        <v>0</v>
      </c>
      <c r="I133" s="113"/>
    </row>
    <row r="134" spans="2:9" x14ac:dyDescent="0.2">
      <c r="B134" s="47" t="s">
        <v>70</v>
      </c>
      <c r="C134" s="2"/>
      <c r="D134" s="23"/>
      <c r="E134" s="2"/>
      <c r="F134" s="108">
        <v>11.577777777777776</v>
      </c>
      <c r="G134" s="2"/>
      <c r="H134" s="76">
        <f t="shared" si="1"/>
        <v>0</v>
      </c>
      <c r="I134" s="113"/>
    </row>
    <row r="135" spans="2:9" x14ac:dyDescent="0.2">
      <c r="B135" s="47" t="s">
        <v>71</v>
      </c>
      <c r="C135" s="2"/>
      <c r="D135" s="23"/>
      <c r="E135" s="2"/>
      <c r="F135" s="108">
        <v>61.457894736842093</v>
      </c>
      <c r="G135" s="2"/>
      <c r="H135" s="76">
        <f t="shared" si="1"/>
        <v>0</v>
      </c>
      <c r="I135" s="113"/>
    </row>
    <row r="136" spans="2:9" x14ac:dyDescent="0.2">
      <c r="B136" s="47" t="s">
        <v>72</v>
      </c>
      <c r="C136" s="2"/>
      <c r="D136" s="23"/>
      <c r="E136" s="2"/>
      <c r="F136" s="108">
        <v>14.3</v>
      </c>
      <c r="G136" s="2"/>
      <c r="H136" s="76">
        <f t="shared" si="1"/>
        <v>0</v>
      </c>
      <c r="I136" s="113"/>
    </row>
    <row r="137" spans="2:9" x14ac:dyDescent="0.2">
      <c r="B137" s="47" t="s">
        <v>73</v>
      </c>
      <c r="C137" s="2"/>
      <c r="D137" s="23"/>
      <c r="E137" s="2"/>
      <c r="F137" s="108">
        <v>39</v>
      </c>
      <c r="G137" s="2"/>
      <c r="H137" s="76">
        <f t="shared" si="1"/>
        <v>0</v>
      </c>
      <c r="I137" s="113"/>
    </row>
    <row r="138" spans="2:9" x14ac:dyDescent="0.2">
      <c r="B138" s="47" t="s">
        <v>74</v>
      </c>
      <c r="C138" s="2"/>
      <c r="D138" s="23"/>
      <c r="E138" s="2"/>
      <c r="F138" s="108">
        <v>7.4</v>
      </c>
      <c r="G138" s="2"/>
      <c r="H138" s="76">
        <f t="shared" si="1"/>
        <v>0</v>
      </c>
      <c r="I138" s="113"/>
    </row>
    <row r="139" spans="2:9" x14ac:dyDescent="0.2">
      <c r="B139" s="47" t="s">
        <v>75</v>
      </c>
      <c r="C139" s="2"/>
      <c r="D139" s="23"/>
      <c r="E139" s="2"/>
      <c r="F139" s="108">
        <v>61.457894736842093</v>
      </c>
      <c r="G139" s="2"/>
      <c r="H139" s="76">
        <f t="shared" si="1"/>
        <v>0</v>
      </c>
      <c r="I139" s="113"/>
    </row>
    <row r="140" spans="2:9" x14ac:dyDescent="0.2">
      <c r="B140" s="47" t="s">
        <v>76</v>
      </c>
      <c r="C140" s="2"/>
      <c r="D140" s="23"/>
      <c r="E140" s="2"/>
      <c r="F140" s="108">
        <v>14.7</v>
      </c>
      <c r="G140" s="2"/>
      <c r="H140" s="76">
        <f t="shared" si="1"/>
        <v>0</v>
      </c>
      <c r="I140" s="113"/>
    </row>
    <row r="141" spans="2:9" x14ac:dyDescent="0.2">
      <c r="B141" s="47" t="s">
        <v>177</v>
      </c>
      <c r="C141" s="2"/>
      <c r="D141" s="23"/>
      <c r="E141" s="2"/>
      <c r="F141" s="108">
        <v>11.577777777777776</v>
      </c>
      <c r="G141" s="2"/>
      <c r="H141" s="76">
        <f t="shared" si="1"/>
        <v>0</v>
      </c>
      <c r="I141" s="113"/>
    </row>
    <row r="142" spans="2:9" x14ac:dyDescent="0.2">
      <c r="B142" s="47" t="s">
        <v>77</v>
      </c>
      <c r="C142" s="2"/>
      <c r="D142" s="23"/>
      <c r="E142" s="2"/>
      <c r="F142" s="108">
        <v>11.577777777777776</v>
      </c>
      <c r="G142" s="2"/>
      <c r="H142" s="76">
        <f t="shared" si="1"/>
        <v>0</v>
      </c>
      <c r="I142" s="113"/>
    </row>
    <row r="143" spans="2:9" x14ac:dyDescent="0.2">
      <c r="B143" s="47" t="s">
        <v>78</v>
      </c>
      <c r="C143" s="2"/>
      <c r="D143" s="23"/>
      <c r="E143" s="2"/>
      <c r="F143" s="108">
        <v>11.577777777777776</v>
      </c>
      <c r="G143" s="2"/>
      <c r="H143" s="76">
        <f t="shared" si="1"/>
        <v>0</v>
      </c>
      <c r="I143" s="113"/>
    </row>
    <row r="144" spans="2:9" x14ac:dyDescent="0.2">
      <c r="B144" s="47" t="s">
        <v>79</v>
      </c>
      <c r="C144" s="2"/>
      <c r="D144" s="23"/>
      <c r="E144" s="2"/>
      <c r="F144" s="108">
        <v>47.8</v>
      </c>
      <c r="G144" s="2"/>
      <c r="H144" s="76">
        <f t="shared" si="1"/>
        <v>0</v>
      </c>
      <c r="I144" s="113"/>
    </row>
    <row r="145" spans="2:9" x14ac:dyDescent="0.2">
      <c r="B145" s="47" t="s">
        <v>80</v>
      </c>
      <c r="C145" s="2"/>
      <c r="D145" s="23"/>
      <c r="E145" s="2"/>
      <c r="F145" s="108">
        <v>61.5</v>
      </c>
      <c r="G145" s="2"/>
      <c r="H145" s="76">
        <f t="shared" si="1"/>
        <v>0</v>
      </c>
      <c r="I145" s="113"/>
    </row>
    <row r="146" spans="2:9" x14ac:dyDescent="0.2">
      <c r="B146" s="47" t="s">
        <v>81</v>
      </c>
      <c r="C146" s="2"/>
      <c r="D146" s="23"/>
      <c r="E146" s="2"/>
      <c r="F146" s="108">
        <v>61.457894736842093</v>
      </c>
      <c r="G146" s="2"/>
      <c r="H146" s="76">
        <f t="shared" si="1"/>
        <v>0</v>
      </c>
      <c r="I146" s="113"/>
    </row>
    <row r="147" spans="2:9" x14ac:dyDescent="0.2">
      <c r="B147" s="47" t="s">
        <v>82</v>
      </c>
      <c r="C147" s="2"/>
      <c r="D147" s="23"/>
      <c r="E147" s="2"/>
      <c r="F147" s="108">
        <v>47.8</v>
      </c>
      <c r="G147" s="2"/>
      <c r="H147" s="76">
        <f t="shared" si="1"/>
        <v>0</v>
      </c>
      <c r="I147" s="113"/>
    </row>
    <row r="148" spans="2:9" x14ac:dyDescent="0.2">
      <c r="B148" s="47" t="s">
        <v>83</v>
      </c>
      <c r="C148" s="2"/>
      <c r="D148" s="23"/>
      <c r="E148" s="2"/>
      <c r="F148" s="108">
        <v>35</v>
      </c>
      <c r="G148" s="2"/>
      <c r="H148" s="76">
        <f t="shared" si="1"/>
        <v>0</v>
      </c>
      <c r="I148" s="113"/>
    </row>
    <row r="149" spans="2:9" x14ac:dyDescent="0.2">
      <c r="B149" s="47" t="s">
        <v>84</v>
      </c>
      <c r="C149" s="2"/>
      <c r="D149" s="23"/>
      <c r="E149" s="2"/>
      <c r="F149" s="108">
        <v>14.8</v>
      </c>
      <c r="G149" s="2"/>
      <c r="H149" s="76">
        <f t="shared" si="1"/>
        <v>0</v>
      </c>
      <c r="I149" s="113"/>
    </row>
    <row r="150" spans="2:9" x14ac:dyDescent="0.2">
      <c r="B150" s="47" t="s">
        <v>85</v>
      </c>
      <c r="C150" s="2"/>
      <c r="D150" s="23"/>
      <c r="E150" s="2"/>
      <c r="F150" s="108">
        <v>11.577777777777776</v>
      </c>
      <c r="G150" s="2"/>
      <c r="H150" s="76">
        <f t="shared" si="1"/>
        <v>0</v>
      </c>
      <c r="I150" s="113"/>
    </row>
    <row r="151" spans="2:9" x14ac:dyDescent="0.2">
      <c r="B151" s="47" t="s">
        <v>86</v>
      </c>
      <c r="C151" s="2"/>
      <c r="D151" s="23"/>
      <c r="E151" s="2"/>
      <c r="F151" s="108">
        <v>11.577777777777776</v>
      </c>
      <c r="G151" s="2"/>
      <c r="H151" s="76">
        <f t="shared" si="1"/>
        <v>0</v>
      </c>
      <c r="I151" s="113"/>
    </row>
    <row r="152" spans="2:9" x14ac:dyDescent="0.2">
      <c r="B152" s="47" t="s">
        <v>87</v>
      </c>
      <c r="C152" s="2"/>
      <c r="D152" s="23"/>
      <c r="E152" s="2"/>
      <c r="F152" s="108">
        <v>14.071428571428571</v>
      </c>
      <c r="G152" s="2"/>
      <c r="H152" s="76">
        <f t="shared" ref="H152:H173" si="2">D152*F152</f>
        <v>0</v>
      </c>
      <c r="I152" s="113"/>
    </row>
    <row r="153" spans="2:9" x14ac:dyDescent="0.2">
      <c r="B153" s="47" t="s">
        <v>88</v>
      </c>
      <c r="C153" s="2"/>
      <c r="D153" s="23"/>
      <c r="E153" s="2"/>
      <c r="F153" s="108">
        <v>11.577777777777776</v>
      </c>
      <c r="G153" s="2"/>
      <c r="H153" s="76">
        <f t="shared" si="2"/>
        <v>0</v>
      </c>
      <c r="I153" s="113"/>
    </row>
    <row r="154" spans="2:9" x14ac:dyDescent="0.2">
      <c r="B154" s="47" t="s">
        <v>89</v>
      </c>
      <c r="C154" s="2"/>
      <c r="D154" s="23"/>
      <c r="E154" s="2"/>
      <c r="F154" s="108">
        <v>19</v>
      </c>
      <c r="G154" s="2"/>
      <c r="H154" s="76">
        <f t="shared" si="2"/>
        <v>0</v>
      </c>
      <c r="I154" s="113"/>
    </row>
    <row r="155" spans="2:9" x14ac:dyDescent="0.2">
      <c r="B155" s="47" t="s">
        <v>90</v>
      </c>
      <c r="C155" s="2"/>
      <c r="D155" s="23"/>
      <c r="E155" s="2"/>
      <c r="F155" s="108">
        <v>61.457894736842093</v>
      </c>
      <c r="G155" s="2"/>
      <c r="H155" s="76">
        <f t="shared" si="2"/>
        <v>0</v>
      </c>
      <c r="I155" s="113"/>
    </row>
    <row r="156" spans="2:9" x14ac:dyDescent="0.2">
      <c r="B156" s="47" t="s">
        <v>91</v>
      </c>
      <c r="C156" s="2"/>
      <c r="D156" s="23"/>
      <c r="E156" s="2"/>
      <c r="F156" s="108">
        <v>11.577777777777776</v>
      </c>
      <c r="G156" s="2"/>
      <c r="H156" s="76">
        <f t="shared" si="2"/>
        <v>0</v>
      </c>
      <c r="I156" s="113"/>
    </row>
    <row r="157" spans="2:9" x14ac:dyDescent="0.2">
      <c r="B157" s="47" t="s">
        <v>92</v>
      </c>
      <c r="C157" s="2"/>
      <c r="D157" s="23"/>
      <c r="E157" s="2"/>
      <c r="F157" s="108">
        <v>24.2</v>
      </c>
      <c r="G157" s="2"/>
      <c r="H157" s="76">
        <f t="shared" si="2"/>
        <v>0</v>
      </c>
      <c r="I157" s="113"/>
    </row>
    <row r="158" spans="2:9" x14ac:dyDescent="0.2">
      <c r="B158" s="47" t="s">
        <v>93</v>
      </c>
      <c r="C158" s="2"/>
      <c r="D158" s="23"/>
      <c r="E158" s="2"/>
      <c r="F158" s="108">
        <v>11.577777777777776</v>
      </c>
      <c r="G158" s="2"/>
      <c r="H158" s="76">
        <f t="shared" si="2"/>
        <v>0</v>
      </c>
      <c r="I158" s="113"/>
    </row>
    <row r="159" spans="2:9" x14ac:dyDescent="0.2">
      <c r="B159" s="47" t="s">
        <v>94</v>
      </c>
      <c r="C159" s="2"/>
      <c r="D159" s="23"/>
      <c r="E159" s="2"/>
      <c r="F159" s="108">
        <v>6.6</v>
      </c>
      <c r="G159" s="2"/>
      <c r="H159" s="76">
        <f t="shared" si="2"/>
        <v>0</v>
      </c>
      <c r="I159" s="113"/>
    </row>
    <row r="160" spans="2:9" x14ac:dyDescent="0.2">
      <c r="B160" s="47" t="s">
        <v>95</v>
      </c>
      <c r="C160" s="2"/>
      <c r="D160" s="23"/>
      <c r="E160" s="2"/>
      <c r="F160" s="108">
        <v>11.577777777777776</v>
      </c>
      <c r="G160" s="2"/>
      <c r="H160" s="76">
        <f t="shared" si="2"/>
        <v>0</v>
      </c>
      <c r="I160" s="113"/>
    </row>
    <row r="161" spans="2:9" x14ac:dyDescent="0.2">
      <c r="B161" s="47" t="s">
        <v>96</v>
      </c>
      <c r="C161" s="2"/>
      <c r="D161" s="23"/>
      <c r="E161" s="2"/>
      <c r="F161" s="108">
        <v>24.5</v>
      </c>
      <c r="G161" s="2"/>
      <c r="H161" s="76">
        <f t="shared" si="2"/>
        <v>0</v>
      </c>
      <c r="I161" s="113"/>
    </row>
    <row r="162" spans="2:9" x14ac:dyDescent="0.2">
      <c r="B162" s="47" t="s">
        <v>97</v>
      </c>
      <c r="C162" s="2"/>
      <c r="D162" s="23"/>
      <c r="E162" s="2"/>
      <c r="F162" s="108">
        <v>11.577777777777776</v>
      </c>
      <c r="G162" s="2"/>
      <c r="H162" s="76">
        <f t="shared" si="2"/>
        <v>0</v>
      </c>
      <c r="I162" s="113"/>
    </row>
    <row r="163" spans="2:9" x14ac:dyDescent="0.2">
      <c r="B163" s="47" t="s">
        <v>98</v>
      </c>
      <c r="C163" s="2"/>
      <c r="D163" s="23"/>
      <c r="E163" s="2"/>
      <c r="F163" s="108">
        <v>11.577777777777776</v>
      </c>
      <c r="G163" s="2"/>
      <c r="H163" s="76">
        <f t="shared" si="2"/>
        <v>0</v>
      </c>
      <c r="I163" s="113"/>
    </row>
    <row r="164" spans="2:9" x14ac:dyDescent="0.2">
      <c r="B164" s="47" t="s">
        <v>99</v>
      </c>
      <c r="C164" s="2"/>
      <c r="D164" s="23"/>
      <c r="E164" s="2"/>
      <c r="F164" s="108">
        <v>7</v>
      </c>
      <c r="G164" s="2"/>
      <c r="H164" s="76">
        <f t="shared" si="2"/>
        <v>0</v>
      </c>
      <c r="I164" s="113"/>
    </row>
    <row r="165" spans="2:9" x14ac:dyDescent="0.2">
      <c r="B165" s="47" t="s">
        <v>100</v>
      </c>
      <c r="C165" s="2"/>
      <c r="D165" s="23"/>
      <c r="E165" s="2"/>
      <c r="F165" s="108">
        <v>51.4</v>
      </c>
      <c r="G165" s="2"/>
      <c r="H165" s="76">
        <f t="shared" si="2"/>
        <v>0</v>
      </c>
      <c r="I165" s="113"/>
    </row>
    <row r="166" spans="2:9" x14ac:dyDescent="0.2">
      <c r="B166" s="47" t="s">
        <v>101</v>
      </c>
      <c r="C166" s="2"/>
      <c r="D166" s="23"/>
      <c r="E166" s="2"/>
      <c r="F166" s="108">
        <v>61.457894736842093</v>
      </c>
      <c r="G166" s="2"/>
      <c r="H166" s="76">
        <f t="shared" si="2"/>
        <v>0</v>
      </c>
      <c r="I166" s="113"/>
    </row>
    <row r="167" spans="2:9" x14ac:dyDescent="0.2">
      <c r="B167" s="47" t="s">
        <v>102</v>
      </c>
      <c r="C167" s="2"/>
      <c r="D167" s="23"/>
      <c r="E167" s="2"/>
      <c r="F167" s="108">
        <v>43.4</v>
      </c>
      <c r="G167" s="2"/>
      <c r="H167" s="76">
        <f t="shared" si="2"/>
        <v>0</v>
      </c>
      <c r="I167" s="113"/>
    </row>
    <row r="168" spans="2:9" x14ac:dyDescent="0.2">
      <c r="B168" s="47" t="s">
        <v>103</v>
      </c>
      <c r="C168" s="2"/>
      <c r="D168" s="23"/>
      <c r="E168" s="2"/>
      <c r="F168" s="108">
        <v>11.577777777777776</v>
      </c>
      <c r="G168" s="2"/>
      <c r="H168" s="76">
        <f t="shared" si="2"/>
        <v>0</v>
      </c>
      <c r="I168" s="113"/>
    </row>
    <row r="169" spans="2:9" x14ac:dyDescent="0.2">
      <c r="B169" s="47" t="s">
        <v>104</v>
      </c>
      <c r="C169" s="2"/>
      <c r="D169" s="23"/>
      <c r="E169" s="2"/>
      <c r="F169" s="108">
        <v>32.1</v>
      </c>
      <c r="G169" s="2"/>
      <c r="H169" s="76">
        <f t="shared" si="2"/>
        <v>0</v>
      </c>
      <c r="I169" s="113"/>
    </row>
    <row r="170" spans="2:9" x14ac:dyDescent="0.2">
      <c r="B170" s="47" t="s">
        <v>105</v>
      </c>
      <c r="C170" s="2"/>
      <c r="D170" s="23"/>
      <c r="E170" s="2"/>
      <c r="F170" s="108">
        <v>11.577777777777776</v>
      </c>
      <c r="G170" s="2"/>
      <c r="H170" s="76">
        <f t="shared" si="2"/>
        <v>0</v>
      </c>
      <c r="I170" s="113"/>
    </row>
    <row r="171" spans="2:9" x14ac:dyDescent="0.2">
      <c r="B171" s="47" t="s">
        <v>106</v>
      </c>
      <c r="C171" s="2"/>
      <c r="D171" s="23"/>
      <c r="E171" s="2"/>
      <c r="F171" s="108">
        <v>63.8</v>
      </c>
      <c r="G171" s="2"/>
      <c r="H171" s="76">
        <f t="shared" si="2"/>
        <v>0</v>
      </c>
      <c r="I171" s="113"/>
    </row>
    <row r="172" spans="2:9" x14ac:dyDescent="0.2">
      <c r="B172" s="47" t="s">
        <v>107</v>
      </c>
      <c r="C172" s="2"/>
      <c r="D172" s="23"/>
      <c r="E172" s="2"/>
      <c r="F172" s="108">
        <v>16.100000000000001</v>
      </c>
      <c r="G172" s="2"/>
      <c r="H172" s="76">
        <f t="shared" si="2"/>
        <v>0</v>
      </c>
      <c r="I172" s="113"/>
    </row>
    <row r="173" spans="2:9" x14ac:dyDescent="0.2">
      <c r="B173" s="47" t="s">
        <v>108</v>
      </c>
      <c r="C173" s="2"/>
      <c r="D173" s="24"/>
      <c r="E173" s="2"/>
      <c r="F173" s="108">
        <v>10.4</v>
      </c>
      <c r="G173" s="2"/>
      <c r="H173" s="112">
        <f t="shared" si="2"/>
        <v>0</v>
      </c>
      <c r="I173" s="113"/>
    </row>
    <row r="174" spans="2:9" x14ac:dyDescent="0.2">
      <c r="B174" s="1" t="s">
        <v>263</v>
      </c>
      <c r="C174" s="2"/>
      <c r="D174" s="2"/>
      <c r="E174" s="2"/>
      <c r="F174" s="2"/>
      <c r="G174" s="2"/>
      <c r="H174" s="56">
        <f>SUM(H120:H173)</f>
        <v>0</v>
      </c>
      <c r="I174" s="113"/>
    </row>
    <row r="176" spans="2:9" s="25" customFormat="1" ht="5.0999999999999996" customHeight="1" thickBot="1" x14ac:dyDescent="0.25">
      <c r="E176" s="26"/>
      <c r="F176" s="26"/>
    </row>
    <row r="177" spans="1:14" customFormat="1" ht="15.75" customHeight="1" thickBot="1" x14ac:dyDescent="0.3">
      <c r="A177" s="311" t="s">
        <v>264</v>
      </c>
      <c r="B177" s="312"/>
      <c r="C177" s="312"/>
      <c r="D177" s="312"/>
      <c r="E177" s="312"/>
      <c r="F177" s="312"/>
      <c r="G177" s="312"/>
      <c r="H177" s="312"/>
      <c r="I177" s="312"/>
      <c r="J177" s="312"/>
      <c r="K177" s="312"/>
      <c r="L177" s="312"/>
      <c r="M177" s="313"/>
    </row>
    <row r="179" spans="1:14" x14ac:dyDescent="0.2">
      <c r="A179" s="67" t="s">
        <v>290</v>
      </c>
      <c r="B179" s="68"/>
      <c r="C179" s="68"/>
      <c r="D179" s="69"/>
      <c r="E179" s="69"/>
      <c r="F179" s="69"/>
      <c r="G179" s="69"/>
      <c r="H179" s="69"/>
      <c r="I179" s="69"/>
      <c r="J179" s="69"/>
      <c r="K179" s="69"/>
      <c r="L179" s="68"/>
      <c r="M179" s="70"/>
    </row>
    <row r="180" spans="1:14" x14ac:dyDescent="0.2">
      <c r="A180" s="52"/>
      <c r="E180" s="59"/>
      <c r="F180" s="59"/>
    </row>
    <row r="181" spans="1:14" ht="27" x14ac:dyDescent="0.25">
      <c r="A181" s="52"/>
      <c r="B181" s="43" t="s">
        <v>246</v>
      </c>
      <c r="C181" s="43" t="s">
        <v>192</v>
      </c>
      <c r="D181" s="91" t="s">
        <v>151</v>
      </c>
      <c r="E181" s="96" t="s">
        <v>195</v>
      </c>
      <c r="F181" s="96" t="s">
        <v>196</v>
      </c>
      <c r="G181" s="96" t="s">
        <v>252</v>
      </c>
      <c r="H181" s="257" t="s">
        <v>276</v>
      </c>
      <c r="I181" s="52"/>
      <c r="J181" s="52"/>
      <c r="K181" s="52"/>
    </row>
    <row r="182" spans="1:14" x14ac:dyDescent="0.2">
      <c r="B182" s="47" t="s">
        <v>50</v>
      </c>
      <c r="C182" s="47" t="s">
        <v>260</v>
      </c>
      <c r="D182" s="2"/>
      <c r="E182" s="2"/>
      <c r="F182" s="2"/>
      <c r="G182" s="2"/>
      <c r="H182" s="51">
        <f>H108</f>
        <v>0</v>
      </c>
    </row>
    <row r="183" spans="1:14" x14ac:dyDescent="0.2">
      <c r="B183" s="47" t="s">
        <v>188</v>
      </c>
      <c r="C183" s="47" t="s">
        <v>260</v>
      </c>
      <c r="D183" s="2"/>
      <c r="E183" s="2"/>
      <c r="F183" s="2"/>
      <c r="G183" s="2"/>
      <c r="H183" s="51">
        <f>H109</f>
        <v>0</v>
      </c>
    </row>
    <row r="184" spans="1:14" x14ac:dyDescent="0.2">
      <c r="B184" s="47" t="s">
        <v>261</v>
      </c>
      <c r="C184" s="47" t="s">
        <v>260</v>
      </c>
      <c r="D184" s="2"/>
      <c r="E184" s="2"/>
      <c r="F184" s="2"/>
      <c r="G184" s="2"/>
      <c r="H184" s="51">
        <f>H110</f>
        <v>0</v>
      </c>
    </row>
    <row r="185" spans="1:14" ht="15" x14ac:dyDescent="0.25">
      <c r="B185" s="53" t="s">
        <v>262</v>
      </c>
      <c r="C185" s="53" t="s">
        <v>259</v>
      </c>
      <c r="D185" s="2"/>
      <c r="E185" s="2"/>
      <c r="F185" s="2"/>
      <c r="G185" s="2"/>
      <c r="H185" s="56">
        <f>Hotel_stay_Scope_3[[#Totals],[Ergebnis 
(kg CO2e / Jahr)]]</f>
        <v>0</v>
      </c>
      <c r="J185"/>
      <c r="K185"/>
      <c r="L185"/>
      <c r="M185"/>
      <c r="N185"/>
    </row>
    <row r="186" spans="1:14" ht="15" x14ac:dyDescent="0.25">
      <c r="B186" s="53" t="s">
        <v>291</v>
      </c>
      <c r="C186" s="53"/>
      <c r="D186" s="2"/>
      <c r="E186" s="2"/>
      <c r="F186" s="2"/>
      <c r="G186" s="2"/>
      <c r="H186" s="56">
        <f>SUBTOTAL(109,Geschäftsreisen_Gesamt[Ergebnis 
'[kg CO2e / Jahr']])</f>
        <v>0</v>
      </c>
      <c r="I186" s="322" t="s">
        <v>281</v>
      </c>
      <c r="J186" s="322"/>
      <c r="K186" s="322"/>
      <c r="L186"/>
      <c r="M186"/>
      <c r="N186"/>
    </row>
  </sheetData>
  <sheetProtection algorithmName="SHA-512" hashValue="UUDvoXb/gEmcMIGL+Xl75iYFWsJGH5ovITME9sUZBON1Kp/SRPzqiW60t8FP+NoTvTXjhVucSkEeVZGcEfe5bA==" saltValue="PRN9nQg2eNMQuwX3bb3Nng==" spinCount="100000" sheet="1" objects="1" scenarios="1"/>
  <protectedRanges>
    <protectedRange sqref="D120:D173" name="Hotelübernachtungen"/>
    <protectedRange sqref="D101" name="Privat PWK"/>
    <protectedRange algorithmName="SHA-512" hashValue="HW+jLE+154B9KqWkeGAjoQGcbCLd25RHAZXlaIQX5MUmwwMbjrtqF8YUmDXNPVBooznIP9rmMBkXTeOfluMf7g==" saltValue="K3MEbatdHAsrcGXHTjqdlg==" spinCount="100000" sqref="D21:D75" name="Flugziele"/>
    <protectedRange algorithmName="SHA-512" hashValue="iOWFjkkICcD3UuKHL7/8i6JAFr8NLRML6AtcbK+K4dkHnoM6mZHLA7Y/KyQEJELwjLbRRm+Cqf0JmGAzoGuk8g==" saltValue="mte4OaFDc2ivngmTVuGtHA==" spinCount="100000" sqref="D93:D94" name="Bahnreisen"/>
  </protectedRanges>
  <mergeCells count="10">
    <mergeCell ref="I186:K186"/>
    <mergeCell ref="A177:M177"/>
    <mergeCell ref="A114:M114"/>
    <mergeCell ref="B2:L2"/>
    <mergeCell ref="B3:L3"/>
    <mergeCell ref="A16:M16"/>
    <mergeCell ref="B4:L6"/>
    <mergeCell ref="D8:D12"/>
    <mergeCell ref="H8:H12"/>
    <mergeCell ref="I8:I12"/>
  </mergeCells>
  <dataValidations count="1">
    <dataValidation allowBlank="1" showInputMessage="1" sqref="H107 H80 H92 H100 H119 H181"/>
  </dataValidations>
  <pageMargins left="0.7" right="0.7" top="0.78740157499999996" bottom="0.78740157499999996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topLeftCell="A22" zoomScaleNormal="100" workbookViewId="0">
      <selection activeCell="D23" sqref="D23"/>
    </sheetView>
  </sheetViews>
  <sheetFormatPr baseColWidth="10" defaultColWidth="11.42578125" defaultRowHeight="12.75" x14ac:dyDescent="0.2"/>
  <cols>
    <col min="1" max="1" width="11.42578125" style="59"/>
    <col min="2" max="2" width="31.42578125" style="59" customWidth="1"/>
    <col min="3" max="3" width="33.140625" style="59" customWidth="1"/>
    <col min="4" max="4" width="37.7109375" style="59" customWidth="1"/>
    <col min="5" max="5" width="32.28515625" style="110" customWidth="1"/>
    <col min="6" max="6" width="18.5703125" style="110" bestFit="1" customWidth="1"/>
    <col min="7" max="11" width="13.5703125" style="110" customWidth="1"/>
    <col min="12" max="16384" width="11.42578125" style="59"/>
  </cols>
  <sheetData>
    <row r="1" spans="1:20" ht="12.75" customHeight="1" thickBot="1" x14ac:dyDescent="0.25">
      <c r="E1" s="59"/>
      <c r="F1" s="59"/>
      <c r="G1" s="115"/>
      <c r="H1" s="115"/>
      <c r="I1" s="59"/>
      <c r="J1" s="59"/>
      <c r="K1" s="59"/>
      <c r="L1" s="115"/>
      <c r="M1" s="115"/>
    </row>
    <row r="2" spans="1:20" ht="12.75" customHeight="1" thickBot="1" x14ac:dyDescent="0.25">
      <c r="A2" s="116"/>
      <c r="B2" s="302" t="s">
        <v>289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117"/>
      <c r="N2" s="118"/>
    </row>
    <row r="3" spans="1:20" ht="12.75" customHeight="1" thickBot="1" x14ac:dyDescent="0.25">
      <c r="A3" s="58"/>
      <c r="B3" s="323" t="s">
        <v>245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20" ht="12.75" customHeight="1" x14ac:dyDescent="0.2">
      <c r="B4" s="324" t="s">
        <v>199</v>
      </c>
      <c r="C4" s="325"/>
      <c r="D4" s="325"/>
      <c r="E4" s="325"/>
      <c r="F4" s="325"/>
      <c r="G4" s="325"/>
      <c r="H4" s="325"/>
      <c r="I4" s="325"/>
      <c r="J4" s="325"/>
      <c r="K4" s="325"/>
      <c r="L4" s="326"/>
      <c r="P4" s="109"/>
      <c r="Q4" s="109"/>
      <c r="R4" s="109"/>
      <c r="S4" s="109"/>
      <c r="T4" s="109"/>
    </row>
    <row r="5" spans="1:20" ht="12.75" customHeight="1" x14ac:dyDescent="0.2">
      <c r="B5" s="327"/>
      <c r="C5" s="328"/>
      <c r="D5" s="328"/>
      <c r="E5" s="328"/>
      <c r="F5" s="328"/>
      <c r="G5" s="328"/>
      <c r="H5" s="328"/>
      <c r="I5" s="328"/>
      <c r="J5" s="328"/>
      <c r="K5" s="328"/>
      <c r="L5" s="329"/>
      <c r="P5" s="109"/>
      <c r="Q5" s="109"/>
      <c r="R5" s="109"/>
      <c r="S5" s="109"/>
      <c r="T5" s="109"/>
    </row>
    <row r="6" spans="1:20" ht="12.75" customHeight="1" x14ac:dyDescent="0.2">
      <c r="B6" s="327"/>
      <c r="C6" s="328"/>
      <c r="D6" s="328"/>
      <c r="E6" s="328"/>
      <c r="F6" s="328"/>
      <c r="G6" s="328"/>
      <c r="H6" s="328"/>
      <c r="I6" s="328"/>
      <c r="J6" s="328"/>
      <c r="K6" s="328"/>
      <c r="L6" s="329"/>
      <c r="P6" s="109"/>
      <c r="Q6" s="109"/>
      <c r="R6" s="109"/>
      <c r="S6" s="109"/>
      <c r="T6" s="109"/>
    </row>
    <row r="7" spans="1:20" s="64" customFormat="1" ht="12.75" customHeight="1" x14ac:dyDescent="0.2">
      <c r="B7" s="63" t="s">
        <v>150</v>
      </c>
      <c r="D7" s="28" t="s">
        <v>121</v>
      </c>
      <c r="E7" s="28"/>
      <c r="F7" s="28" t="s">
        <v>122</v>
      </c>
      <c r="G7" s="161" t="s">
        <v>203</v>
      </c>
      <c r="H7" s="28"/>
      <c r="K7" s="65"/>
      <c r="L7" s="29"/>
      <c r="P7" s="109"/>
      <c r="Q7" s="109"/>
      <c r="R7" s="109"/>
      <c r="S7" s="109"/>
      <c r="T7" s="109"/>
    </row>
    <row r="8" spans="1:20" ht="12.75" customHeight="1" x14ac:dyDescent="0.2">
      <c r="B8" s="119"/>
      <c r="C8" s="47"/>
      <c r="D8" s="330" t="s">
        <v>124</v>
      </c>
      <c r="E8" s="49"/>
      <c r="F8" s="333" t="s">
        <v>124</v>
      </c>
      <c r="G8" s="59" t="s">
        <v>204</v>
      </c>
      <c r="H8" s="59"/>
      <c r="I8" s="59"/>
      <c r="J8" s="59"/>
      <c r="K8" s="62"/>
      <c r="L8" s="120"/>
      <c r="P8" s="109"/>
      <c r="Q8" s="109"/>
      <c r="R8" s="109"/>
      <c r="S8" s="109"/>
      <c r="T8" s="109"/>
    </row>
    <row r="9" spans="1:20" ht="12.75" customHeight="1" x14ac:dyDescent="0.2">
      <c r="B9" s="119"/>
      <c r="C9" s="47"/>
      <c r="D9" s="331"/>
      <c r="E9" s="49"/>
      <c r="F9" s="334"/>
      <c r="G9" s="139">
        <v>0.05</v>
      </c>
      <c r="H9" s="139">
        <v>0.05</v>
      </c>
      <c r="I9" s="139">
        <v>0.1</v>
      </c>
      <c r="J9" s="59"/>
      <c r="K9" s="62"/>
      <c r="L9" s="120"/>
      <c r="P9" s="109"/>
      <c r="Q9" s="109"/>
      <c r="R9" s="109"/>
      <c r="S9" s="109"/>
      <c r="T9" s="109"/>
    </row>
    <row r="10" spans="1:20" ht="12.75" customHeight="1" x14ac:dyDescent="0.2">
      <c r="B10" s="119"/>
      <c r="C10" s="47"/>
      <c r="D10" s="331"/>
      <c r="E10" s="49"/>
      <c r="F10" s="334"/>
      <c r="G10" s="139">
        <v>0.1</v>
      </c>
      <c r="H10" s="139">
        <v>0.2</v>
      </c>
      <c r="I10" s="139">
        <v>0.05</v>
      </c>
      <c r="J10" s="59"/>
      <c r="K10" s="62"/>
      <c r="L10" s="120"/>
      <c r="P10" s="109"/>
      <c r="Q10" s="109"/>
      <c r="R10" s="109"/>
      <c r="S10" s="109"/>
      <c r="T10" s="109"/>
    </row>
    <row r="11" spans="1:20" ht="12.75" customHeight="1" x14ac:dyDescent="0.2">
      <c r="B11" s="119"/>
      <c r="C11" s="47"/>
      <c r="D11" s="331"/>
      <c r="E11" s="49"/>
      <c r="F11" s="334"/>
      <c r="G11" s="59"/>
      <c r="H11" s="59"/>
      <c r="I11" s="59"/>
      <c r="J11" s="59"/>
      <c r="K11" s="62"/>
      <c r="L11" s="120"/>
      <c r="P11" s="109"/>
      <c r="Q11" s="109"/>
      <c r="R11" s="109"/>
      <c r="S11" s="109"/>
      <c r="T11" s="109"/>
    </row>
    <row r="12" spans="1:20" ht="12.75" customHeight="1" thickBot="1" x14ac:dyDescent="0.25">
      <c r="B12" s="121"/>
      <c r="C12" s="122"/>
      <c r="D12" s="332"/>
      <c r="E12" s="123"/>
      <c r="F12" s="335"/>
      <c r="G12" s="61"/>
      <c r="H12" s="61"/>
      <c r="I12" s="61"/>
      <c r="J12" s="61"/>
      <c r="K12" s="125"/>
      <c r="L12" s="126"/>
      <c r="P12" s="109"/>
      <c r="Q12" s="109"/>
      <c r="R12" s="109"/>
      <c r="S12" s="109"/>
      <c r="T12" s="109"/>
    </row>
    <row r="13" spans="1:20" ht="12.75" customHeight="1" x14ac:dyDescent="0.2">
      <c r="E13" s="59"/>
      <c r="F13" s="59"/>
      <c r="G13" s="59"/>
      <c r="H13" s="59"/>
      <c r="I13" s="59"/>
      <c r="J13" s="59"/>
      <c r="K13" s="59"/>
      <c r="P13" s="109"/>
      <c r="Q13" s="109"/>
      <c r="R13" s="109"/>
      <c r="S13" s="109"/>
      <c r="T13" s="109"/>
    </row>
    <row r="14" spans="1:20" ht="13.5" thickBot="1" x14ac:dyDescent="0.25">
      <c r="G14" s="59"/>
      <c r="H14" s="59"/>
      <c r="I14" s="59"/>
      <c r="J14" s="59"/>
      <c r="K14" s="59"/>
    </row>
    <row r="15" spans="1:20" s="109" customFormat="1" ht="15.75" customHeight="1" thickBot="1" x14ac:dyDescent="0.25">
      <c r="A15" s="311" t="s">
        <v>4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3"/>
    </row>
    <row r="17" spans="1:13" ht="5.0999999999999996" customHeight="1" x14ac:dyDescent="0.2">
      <c r="D17" s="128"/>
      <c r="E17" s="129"/>
      <c r="F17" s="129"/>
      <c r="G17" s="129"/>
      <c r="H17" s="129"/>
      <c r="I17" s="129"/>
      <c r="J17" s="129"/>
      <c r="K17" s="129"/>
    </row>
    <row r="18" spans="1:13" x14ac:dyDescent="0.2">
      <c r="A18" s="67" t="s">
        <v>297</v>
      </c>
      <c r="B18" s="68"/>
      <c r="C18" s="68"/>
      <c r="D18" s="69"/>
      <c r="E18" s="69"/>
      <c r="F18" s="69"/>
      <c r="G18" s="69"/>
      <c r="H18" s="69"/>
      <c r="I18" s="69"/>
      <c r="J18" s="69"/>
      <c r="K18" s="69"/>
      <c r="L18" s="68"/>
      <c r="M18" s="70"/>
    </row>
    <row r="19" spans="1:13" ht="15.75" customHeight="1" x14ac:dyDescent="0.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x14ac:dyDescent="0.2">
      <c r="C20" s="59" t="s">
        <v>1</v>
      </c>
      <c r="D20" s="128"/>
      <c r="E20" s="129"/>
      <c r="F20" s="129"/>
      <c r="G20" s="129"/>
      <c r="H20" s="129"/>
      <c r="I20" s="129"/>
      <c r="J20" s="129"/>
      <c r="K20" s="129"/>
    </row>
    <row r="21" spans="1:13" x14ac:dyDescent="0.2">
      <c r="C21" s="59" t="s">
        <v>2</v>
      </c>
      <c r="D21" s="128"/>
      <c r="E21" s="129"/>
      <c r="F21" s="129"/>
      <c r="G21" s="129"/>
      <c r="H21" s="129"/>
      <c r="I21" s="129"/>
      <c r="J21" s="129"/>
      <c r="K21" s="129"/>
    </row>
    <row r="22" spans="1:13" x14ac:dyDescent="0.2">
      <c r="D22" s="128"/>
      <c r="E22" s="129"/>
      <c r="F22" s="129"/>
      <c r="G22" s="129"/>
      <c r="H22" s="129"/>
      <c r="I22" s="129"/>
      <c r="J22" s="129"/>
      <c r="K22" s="129"/>
    </row>
    <row r="23" spans="1:13" x14ac:dyDescent="0.2">
      <c r="B23" s="86" t="s">
        <v>116</v>
      </c>
      <c r="C23" s="2"/>
      <c r="D23" s="160">
        <v>100</v>
      </c>
      <c r="E23" s="2"/>
      <c r="G23" s="129"/>
      <c r="H23" s="129"/>
      <c r="I23" s="129"/>
      <c r="J23" s="129"/>
      <c r="K23" s="129"/>
    </row>
    <row r="24" spans="1:13" x14ac:dyDescent="0.2">
      <c r="B24" s="129"/>
      <c r="C24" s="52"/>
      <c r="D24" s="129"/>
      <c r="E24" s="129"/>
      <c r="G24" s="129"/>
      <c r="H24" s="129"/>
      <c r="I24" s="129"/>
      <c r="J24" s="129"/>
      <c r="K24" s="129"/>
    </row>
    <row r="25" spans="1:13" s="110" customFormat="1" ht="15" customHeight="1" x14ac:dyDescent="0.2">
      <c r="B25" s="233" t="s">
        <v>200</v>
      </c>
      <c r="C25" s="233"/>
      <c r="D25" s="130" t="s">
        <v>119</v>
      </c>
      <c r="E25" s="234" t="s">
        <v>17</v>
      </c>
      <c r="G25" s="129"/>
      <c r="H25" s="129"/>
      <c r="I25" s="129"/>
      <c r="J25" s="129"/>
      <c r="K25" s="129"/>
    </row>
    <row r="26" spans="1:13" x14ac:dyDescent="0.2">
      <c r="B26" s="157" t="s">
        <v>202</v>
      </c>
      <c r="C26" s="2"/>
      <c r="D26" s="131">
        <v>1</v>
      </c>
      <c r="E26" s="132">
        <v>220</v>
      </c>
      <c r="G26" s="129"/>
      <c r="H26" s="129"/>
      <c r="I26" s="129"/>
      <c r="J26" s="129"/>
      <c r="K26" s="129"/>
    </row>
    <row r="27" spans="1:13" x14ac:dyDescent="0.2">
      <c r="B27" s="133" t="s">
        <v>201</v>
      </c>
      <c r="C27" s="2"/>
      <c r="D27" s="131">
        <v>0</v>
      </c>
      <c r="E27" s="132">
        <v>100</v>
      </c>
      <c r="G27" s="129"/>
      <c r="H27" s="129"/>
      <c r="I27" s="129"/>
      <c r="J27" s="129"/>
      <c r="K27" s="129"/>
    </row>
    <row r="28" spans="1:13" x14ac:dyDescent="0.2">
      <c r="B28" s="158" t="s">
        <v>18</v>
      </c>
      <c r="C28" s="2"/>
      <c r="D28" s="159">
        <f>D27+D26</f>
        <v>1</v>
      </c>
      <c r="E28" s="132">
        <f>SUMPRODUCT(E26:E27,D26:D27)</f>
        <v>220</v>
      </c>
      <c r="G28" s="129"/>
      <c r="H28" s="129"/>
      <c r="I28" s="129"/>
      <c r="J28" s="129"/>
      <c r="K28" s="129"/>
    </row>
    <row r="29" spans="1:13" x14ac:dyDescent="0.2">
      <c r="B29" s="86" t="s">
        <v>117</v>
      </c>
      <c r="C29" s="2"/>
      <c r="D29" s="2"/>
      <c r="E29" s="168">
        <f>+D23*E28</f>
        <v>22000</v>
      </c>
      <c r="G29" s="129"/>
      <c r="H29" s="129"/>
      <c r="I29" s="129"/>
      <c r="J29" s="129"/>
      <c r="K29" s="129"/>
    </row>
    <row r="30" spans="1:13" x14ac:dyDescent="0.2">
      <c r="C30" s="129"/>
      <c r="D30" s="52"/>
      <c r="E30" s="129"/>
      <c r="F30" s="129"/>
      <c r="G30" s="129"/>
      <c r="H30" s="129"/>
      <c r="I30" s="129"/>
      <c r="J30" s="129"/>
      <c r="K30" s="129"/>
    </row>
    <row r="31" spans="1:13" ht="5.0999999999999996" customHeight="1" x14ac:dyDescent="0.2">
      <c r="D31" s="128"/>
      <c r="E31" s="129"/>
      <c r="F31" s="129"/>
      <c r="G31" s="129"/>
      <c r="H31" s="129"/>
      <c r="I31" s="129"/>
      <c r="J31" s="129"/>
      <c r="K31" s="129"/>
    </row>
    <row r="32" spans="1:13" x14ac:dyDescent="0.2">
      <c r="A32" s="67" t="s">
        <v>298</v>
      </c>
      <c r="B32" s="68"/>
      <c r="C32" s="68"/>
      <c r="D32" s="69"/>
      <c r="E32" s="69"/>
      <c r="F32" s="69"/>
      <c r="G32" s="69"/>
      <c r="H32" s="69"/>
      <c r="I32" s="69"/>
      <c r="J32" s="69"/>
      <c r="K32" s="69"/>
      <c r="L32" s="68"/>
      <c r="M32" s="70"/>
    </row>
    <row r="33" spans="1:11" x14ac:dyDescent="0.2">
      <c r="A33" s="163"/>
      <c r="D33" s="110"/>
    </row>
    <row r="34" spans="1:11" ht="15" customHeight="1" x14ac:dyDescent="0.2">
      <c r="B34" s="162" t="s">
        <v>206</v>
      </c>
      <c r="C34" s="134"/>
      <c r="D34" s="134"/>
      <c r="E34" s="134"/>
      <c r="F34" s="134"/>
      <c r="G34" s="134"/>
      <c r="H34" s="134"/>
      <c r="I34" s="134"/>
      <c r="J34" s="134"/>
    </row>
    <row r="35" spans="1:11" x14ac:dyDescent="0.2">
      <c r="B35" s="162" t="s">
        <v>205</v>
      </c>
      <c r="C35" s="134"/>
      <c r="D35" s="134"/>
      <c r="E35" s="134"/>
      <c r="F35" s="134"/>
      <c r="G35" s="134"/>
      <c r="H35" s="134"/>
      <c r="I35" s="135"/>
      <c r="J35" s="135"/>
    </row>
    <row r="36" spans="1:11" ht="30.75" customHeight="1" x14ac:dyDescent="0.2">
      <c r="B36" s="344" t="s">
        <v>299</v>
      </c>
      <c r="C36" s="344"/>
      <c r="D36" s="344"/>
      <c r="E36" s="344"/>
      <c r="F36" s="344"/>
      <c r="G36" s="344"/>
      <c r="H36" s="344"/>
      <c r="I36" s="344"/>
      <c r="J36" s="344"/>
      <c r="K36" s="344"/>
    </row>
    <row r="37" spans="1:11" s="110" customFormat="1" ht="15" customHeight="1" x14ac:dyDescent="0.2">
      <c r="B37" s="339" t="s">
        <v>208</v>
      </c>
      <c r="C37" s="340"/>
      <c r="D37" s="340"/>
      <c r="E37" s="341"/>
      <c r="F37" s="230"/>
      <c r="G37" s="342" t="s">
        <v>207</v>
      </c>
      <c r="H37" s="343"/>
      <c r="I37" s="343"/>
      <c r="J37" s="343"/>
      <c r="K37" s="343"/>
    </row>
    <row r="38" spans="1:11" s="110" customFormat="1" ht="25.5" x14ac:dyDescent="0.2">
      <c r="B38" s="231" t="s">
        <v>3</v>
      </c>
      <c r="C38" s="44" t="s">
        <v>4</v>
      </c>
      <c r="D38" s="44" t="s">
        <v>112</v>
      </c>
      <c r="E38" s="44" t="s">
        <v>5</v>
      </c>
      <c r="F38" s="96" t="s">
        <v>151</v>
      </c>
      <c r="G38" s="44" t="s">
        <v>6</v>
      </c>
      <c r="H38" s="44" t="s">
        <v>7</v>
      </c>
      <c r="I38" s="44" t="s">
        <v>8</v>
      </c>
      <c r="J38" s="44" t="s">
        <v>9</v>
      </c>
      <c r="K38" s="44" t="s">
        <v>113</v>
      </c>
    </row>
    <row r="39" spans="1:11" x14ac:dyDescent="0.2">
      <c r="B39" s="47" t="s">
        <v>3</v>
      </c>
      <c r="C39" s="137" t="s">
        <v>10</v>
      </c>
      <c r="D39" s="131"/>
      <c r="E39" s="138">
        <v>2.1177699228791775</v>
      </c>
      <c r="F39" s="2"/>
      <c r="G39" s="173">
        <v>0.1322163461719057</v>
      </c>
      <c r="H39" s="173">
        <v>0.74469274753808712</v>
      </c>
      <c r="I39" s="173">
        <v>1.7371161851921293E-2</v>
      </c>
      <c r="J39" s="173">
        <v>6.6317932646107608E-2</v>
      </c>
      <c r="K39" s="173">
        <v>3.9401811791978249E-2</v>
      </c>
    </row>
    <row r="40" spans="1:11" x14ac:dyDescent="0.2">
      <c r="B40" s="47" t="s">
        <v>3</v>
      </c>
      <c r="C40" s="137" t="s">
        <v>11</v>
      </c>
      <c r="D40" s="131"/>
      <c r="E40" s="138">
        <v>6.5784459660613281</v>
      </c>
      <c r="F40" s="2"/>
      <c r="G40" s="139">
        <v>8.3745560257507609E-3</v>
      </c>
      <c r="H40" s="139">
        <v>0.63633493039383271</v>
      </c>
      <c r="I40" s="139">
        <v>4.053810460381721E-2</v>
      </c>
      <c r="J40" s="139">
        <v>0.145345044495231</v>
      </c>
      <c r="K40" s="139">
        <v>0.16940736448136828</v>
      </c>
    </row>
    <row r="41" spans="1:11" x14ac:dyDescent="0.2">
      <c r="B41" s="47" t="s">
        <v>3</v>
      </c>
      <c r="C41" s="137" t="s">
        <v>12</v>
      </c>
      <c r="D41" s="131"/>
      <c r="E41" s="138">
        <v>13.363255813953488</v>
      </c>
      <c r="F41" s="2"/>
      <c r="G41" s="139">
        <v>0</v>
      </c>
      <c r="H41" s="139">
        <v>0.26460847762199324</v>
      </c>
      <c r="I41" s="139">
        <v>3.9915085533354086E-2</v>
      </c>
      <c r="J41" s="139">
        <v>0.21744783681429086</v>
      </c>
      <c r="K41" s="139">
        <v>0.47802860003036168</v>
      </c>
    </row>
    <row r="42" spans="1:11" x14ac:dyDescent="0.2">
      <c r="B42" s="47" t="s">
        <v>3</v>
      </c>
      <c r="C42" s="137" t="s">
        <v>13</v>
      </c>
      <c r="D42" s="131"/>
      <c r="E42" s="138">
        <v>22.802090592334494</v>
      </c>
      <c r="F42" s="2"/>
      <c r="G42" s="139">
        <v>0</v>
      </c>
      <c r="H42" s="139">
        <v>2.0760520409421408E-2</v>
      </c>
      <c r="I42" s="139">
        <v>1.5606252490699581E-2</v>
      </c>
      <c r="J42" s="139">
        <v>0.35111344022985808</v>
      </c>
      <c r="K42" s="139">
        <v>0.61251978687002107</v>
      </c>
    </row>
    <row r="43" spans="1:11" x14ac:dyDescent="0.2">
      <c r="B43" s="47" t="s">
        <v>3</v>
      </c>
      <c r="C43" s="137" t="s">
        <v>14</v>
      </c>
      <c r="D43" s="131"/>
      <c r="E43" s="138">
        <v>33.698481561822128</v>
      </c>
      <c r="F43" s="2"/>
      <c r="G43" s="139">
        <v>0</v>
      </c>
      <c r="H43" s="139">
        <v>1.8895775618609806E-2</v>
      </c>
      <c r="I43" s="139">
        <v>6.3170420900499936E-3</v>
      </c>
      <c r="J43" s="139">
        <v>0.38433774776748075</v>
      </c>
      <c r="K43" s="139">
        <v>0.59044943452385945</v>
      </c>
    </row>
    <row r="44" spans="1:11" x14ac:dyDescent="0.2">
      <c r="B44" s="47" t="s">
        <v>3</v>
      </c>
      <c r="C44" s="137" t="s">
        <v>15</v>
      </c>
      <c r="D44" s="131"/>
      <c r="E44" s="138">
        <v>41.717171717171716</v>
      </c>
      <c r="F44" s="2"/>
      <c r="G44" s="139">
        <v>0</v>
      </c>
      <c r="H44" s="139">
        <v>1.4948849669575739E-2</v>
      </c>
      <c r="I44" s="139">
        <v>5.8857501665604333E-4</v>
      </c>
      <c r="J44" s="139">
        <v>0.34616225480620344</v>
      </c>
      <c r="K44" s="139">
        <v>0.6383003205075648</v>
      </c>
    </row>
    <row r="45" spans="1:11" x14ac:dyDescent="0.2">
      <c r="B45" s="53" t="s">
        <v>3</v>
      </c>
      <c r="C45" s="164" t="s">
        <v>16</v>
      </c>
      <c r="D45" s="165"/>
      <c r="E45" s="166">
        <v>78.181571815718158</v>
      </c>
      <c r="F45" s="2"/>
      <c r="G45" s="167">
        <v>0</v>
      </c>
      <c r="H45" s="167">
        <v>0</v>
      </c>
      <c r="I45" s="167">
        <v>6.953378189253772E-3</v>
      </c>
      <c r="J45" s="167">
        <v>0.42427681330869504</v>
      </c>
      <c r="K45" s="167">
        <v>0.56876980850205117</v>
      </c>
    </row>
    <row r="46" spans="1:11" x14ac:dyDescent="0.2">
      <c r="B46" s="182" t="s">
        <v>158</v>
      </c>
      <c r="C46" s="183"/>
      <c r="D46" s="184">
        <f>SUBTOTAL(109,Pendelverkehr[Aufteilung in (%) der Mitarbeiter*innen])</f>
        <v>0</v>
      </c>
      <c r="E46" s="185" t="s">
        <v>211</v>
      </c>
      <c r="F46" s="183"/>
      <c r="G46" s="183"/>
      <c r="H46" s="183"/>
      <c r="I46" s="183"/>
      <c r="J46" s="183"/>
      <c r="K46" s="183"/>
    </row>
    <row r="47" spans="1:11" customFormat="1" ht="15" x14ac:dyDescent="0.25"/>
    <row r="48" spans="1:11" ht="5.0999999999999996" customHeight="1" x14ac:dyDescent="0.2">
      <c r="C48" s="52"/>
      <c r="D48" s="52"/>
      <c r="E48" s="72"/>
      <c r="F48" s="140"/>
      <c r="G48" s="72"/>
      <c r="H48" s="72"/>
      <c r="I48" s="72"/>
      <c r="J48" s="72"/>
      <c r="K48" s="72"/>
    </row>
    <row r="49" spans="1:13" x14ac:dyDescent="0.2">
      <c r="A49" s="141" t="s">
        <v>288</v>
      </c>
      <c r="B49" s="68"/>
      <c r="C49" s="68"/>
      <c r="D49" s="68"/>
      <c r="E49" s="69"/>
      <c r="F49" s="69"/>
      <c r="G49" s="69"/>
      <c r="H49" s="69"/>
      <c r="I49" s="69"/>
      <c r="J49" s="101"/>
      <c r="K49" s="101"/>
      <c r="L49" s="68"/>
      <c r="M49" s="70"/>
    </row>
    <row r="50" spans="1:13" x14ac:dyDescent="0.2">
      <c r="J50" s="72"/>
      <c r="K50" s="72"/>
    </row>
    <row r="51" spans="1:13" s="110" customFormat="1" x14ac:dyDescent="0.2">
      <c r="B51" s="232" t="s">
        <v>3</v>
      </c>
      <c r="C51" s="142" t="s">
        <v>287</v>
      </c>
      <c r="D51" s="143" t="s">
        <v>19</v>
      </c>
      <c r="E51" s="143" t="s">
        <v>20</v>
      </c>
      <c r="F51" s="143" t="s">
        <v>21</v>
      </c>
      <c r="G51" s="143" t="s">
        <v>22</v>
      </c>
      <c r="H51" s="144" t="s">
        <v>114</v>
      </c>
      <c r="J51" s="72"/>
      <c r="K51" s="72"/>
    </row>
    <row r="52" spans="1:13" x14ac:dyDescent="0.2">
      <c r="B52" s="145" t="str">
        <f t="shared" ref="B52:B58" si="0">C39</f>
        <v>Weniger als 5 km</v>
      </c>
      <c r="C52" s="146">
        <f>+$E$29*$D39*E39*2</f>
        <v>0</v>
      </c>
      <c r="D52" s="55">
        <f t="shared" ref="D52:H58" si="1">+$C52*G39</f>
        <v>0</v>
      </c>
      <c r="E52" s="55">
        <f t="shared" si="1"/>
        <v>0</v>
      </c>
      <c r="F52" s="55">
        <f t="shared" si="1"/>
        <v>0</v>
      </c>
      <c r="G52" s="55">
        <f t="shared" si="1"/>
        <v>0</v>
      </c>
      <c r="H52" s="55">
        <f t="shared" si="1"/>
        <v>0</v>
      </c>
      <c r="J52" s="72"/>
      <c r="K52" s="72"/>
    </row>
    <row r="53" spans="1:13" x14ac:dyDescent="0.2">
      <c r="B53" s="136" t="str">
        <f t="shared" si="0"/>
        <v>5 - 9 Kilometer</v>
      </c>
      <c r="C53" s="146">
        <f>+$E$29*$D40*E40*2</f>
        <v>0</v>
      </c>
      <c r="D53" s="55">
        <f t="shared" si="1"/>
        <v>0</v>
      </c>
      <c r="E53" s="55">
        <f t="shared" si="1"/>
        <v>0</v>
      </c>
      <c r="F53" s="55">
        <f t="shared" si="1"/>
        <v>0</v>
      </c>
      <c r="G53" s="55">
        <f t="shared" si="1"/>
        <v>0</v>
      </c>
      <c r="H53" s="55">
        <f t="shared" si="1"/>
        <v>0</v>
      </c>
      <c r="J53" s="72"/>
      <c r="K53" s="72"/>
    </row>
    <row r="54" spans="1:13" x14ac:dyDescent="0.2">
      <c r="B54" s="145" t="str">
        <f t="shared" si="0"/>
        <v>10 - 19 Kilometer</v>
      </c>
      <c r="C54" s="146">
        <f>+$E$29*$D41*E41*2</f>
        <v>0</v>
      </c>
      <c r="D54" s="55">
        <f t="shared" si="1"/>
        <v>0</v>
      </c>
      <c r="E54" s="55">
        <f t="shared" si="1"/>
        <v>0</v>
      </c>
      <c r="F54" s="55">
        <f t="shared" si="1"/>
        <v>0</v>
      </c>
      <c r="G54" s="55">
        <f t="shared" si="1"/>
        <v>0</v>
      </c>
      <c r="H54" s="55">
        <f t="shared" si="1"/>
        <v>0</v>
      </c>
      <c r="J54" s="72"/>
      <c r="K54" s="72"/>
    </row>
    <row r="55" spans="1:13" x14ac:dyDescent="0.2">
      <c r="B55" s="136" t="str">
        <f t="shared" si="0"/>
        <v>20 - 29 Kilometer</v>
      </c>
      <c r="C55" s="146">
        <f>+$E$29*$D42*E42*2</f>
        <v>0</v>
      </c>
      <c r="D55" s="55">
        <f t="shared" si="1"/>
        <v>0</v>
      </c>
      <c r="E55" s="55">
        <f t="shared" si="1"/>
        <v>0</v>
      </c>
      <c r="F55" s="55">
        <f t="shared" si="1"/>
        <v>0</v>
      </c>
      <c r="G55" s="55">
        <f t="shared" si="1"/>
        <v>0</v>
      </c>
      <c r="H55" s="55">
        <f t="shared" si="1"/>
        <v>0</v>
      </c>
      <c r="J55" s="72"/>
      <c r="K55" s="72"/>
    </row>
    <row r="56" spans="1:13" x14ac:dyDescent="0.2">
      <c r="B56" s="145" t="str">
        <f t="shared" si="0"/>
        <v>30 - 39 Kilometer</v>
      </c>
      <c r="C56" s="146">
        <f t="shared" ref="C56:C58" si="2">+$E$29*$D43*E43*2</f>
        <v>0</v>
      </c>
      <c r="D56" s="55">
        <f t="shared" si="1"/>
        <v>0</v>
      </c>
      <c r="E56" s="55">
        <f t="shared" si="1"/>
        <v>0</v>
      </c>
      <c r="F56" s="55">
        <f t="shared" si="1"/>
        <v>0</v>
      </c>
      <c r="G56" s="55">
        <f t="shared" si="1"/>
        <v>0</v>
      </c>
      <c r="H56" s="55">
        <f t="shared" si="1"/>
        <v>0</v>
      </c>
      <c r="J56" s="72"/>
      <c r="K56" s="72"/>
    </row>
    <row r="57" spans="1:13" x14ac:dyDescent="0.2">
      <c r="B57" s="136" t="str">
        <f t="shared" si="0"/>
        <v>40 - 49 Kilometer</v>
      </c>
      <c r="C57" s="146">
        <f t="shared" si="2"/>
        <v>0</v>
      </c>
      <c r="D57" s="55">
        <f t="shared" si="1"/>
        <v>0</v>
      </c>
      <c r="E57" s="55">
        <f t="shared" si="1"/>
        <v>0</v>
      </c>
      <c r="F57" s="55">
        <f t="shared" si="1"/>
        <v>0</v>
      </c>
      <c r="G57" s="55">
        <f t="shared" si="1"/>
        <v>0</v>
      </c>
      <c r="H57" s="55">
        <f t="shared" si="1"/>
        <v>0</v>
      </c>
      <c r="J57" s="72"/>
      <c r="K57" s="72"/>
    </row>
    <row r="58" spans="1:13" x14ac:dyDescent="0.2">
      <c r="B58" s="145" t="str">
        <f t="shared" si="0"/>
        <v>Mehr als 50 Kilometer</v>
      </c>
      <c r="C58" s="146">
        <f t="shared" si="2"/>
        <v>0</v>
      </c>
      <c r="D58" s="55">
        <f t="shared" si="1"/>
        <v>0</v>
      </c>
      <c r="E58" s="55">
        <f t="shared" si="1"/>
        <v>0</v>
      </c>
      <c r="F58" s="55">
        <f t="shared" si="1"/>
        <v>0</v>
      </c>
      <c r="G58" s="55">
        <f t="shared" si="1"/>
        <v>0</v>
      </c>
      <c r="H58" s="55">
        <f t="shared" si="1"/>
        <v>0</v>
      </c>
      <c r="J58" s="72"/>
      <c r="K58" s="72"/>
    </row>
    <row r="59" spans="1:13" x14ac:dyDescent="0.2">
      <c r="B59" s="147" t="s">
        <v>0</v>
      </c>
      <c r="C59" s="148">
        <f>SUM(C52:C58)</f>
        <v>0</v>
      </c>
      <c r="D59" s="149">
        <f t="shared" ref="D59:E59" si="3">SUM(D52:D58)</f>
        <v>0</v>
      </c>
      <c r="E59" s="149">
        <f t="shared" si="3"/>
        <v>0</v>
      </c>
      <c r="F59" s="149">
        <f>SUM(F52:F58)</f>
        <v>0</v>
      </c>
      <c r="G59" s="149">
        <f t="shared" ref="G59:H59" si="4">SUM(G52:G58)</f>
        <v>0</v>
      </c>
      <c r="H59" s="150">
        <f t="shared" si="4"/>
        <v>0</v>
      </c>
      <c r="J59" s="72"/>
      <c r="K59" s="72"/>
    </row>
    <row r="60" spans="1:13" x14ac:dyDescent="0.2">
      <c r="B60" s="147" t="s">
        <v>23</v>
      </c>
      <c r="C60" s="151" t="str">
        <f>IFERROR(C59/$C$59,"Mitarbeiteranzahl?")</f>
        <v>Mitarbeiteranzahl?</v>
      </c>
      <c r="D60" s="152" t="str">
        <f>IFERROR(D59/C59,"Mitarbeiteranzahl?")</f>
        <v>Mitarbeiteranzahl?</v>
      </c>
      <c r="E60" s="152" t="str">
        <f>IFERROR(E59/$C$59,"Mitarbeiteranzahl?")</f>
        <v>Mitarbeiteranzahl?</v>
      </c>
      <c r="F60" s="152" t="str">
        <f>IFERROR(F59/$C$59,"Mitarbeiteranzahl?")</f>
        <v>Mitarbeiteranzahl?</v>
      </c>
      <c r="G60" s="152" t="str">
        <f>IFERROR(G59/$C$59,"Mitarbeiteranzahl?")</f>
        <v>Mitarbeiteranzahl?</v>
      </c>
      <c r="H60" s="152" t="str">
        <f>IFERROR(H59/$C$59,"Mitarbeiteranzahl?")</f>
        <v>Mitarbeiteranzahl?</v>
      </c>
      <c r="J60" s="72"/>
      <c r="K60" s="72"/>
    </row>
    <row r="61" spans="1:13" x14ac:dyDescent="0.2">
      <c r="C61" s="52"/>
      <c r="D61" s="153"/>
      <c r="E61" s="72"/>
      <c r="F61" s="72"/>
      <c r="G61" s="72"/>
      <c r="H61" s="72"/>
      <c r="I61" s="72"/>
      <c r="J61" s="72"/>
      <c r="K61" s="72"/>
    </row>
    <row r="62" spans="1:13" ht="5.0999999999999996" customHeight="1" x14ac:dyDescent="0.2">
      <c r="C62" s="52"/>
      <c r="D62" s="52"/>
      <c r="E62" s="72"/>
      <c r="F62" s="72"/>
      <c r="G62" s="72"/>
      <c r="H62" s="72"/>
      <c r="I62" s="72"/>
      <c r="J62" s="72"/>
      <c r="K62" s="72"/>
    </row>
    <row r="63" spans="1:13" x14ac:dyDescent="0.2">
      <c r="A63" s="186" t="s">
        <v>284</v>
      </c>
      <c r="B63" s="68"/>
      <c r="C63" s="68"/>
      <c r="D63" s="68"/>
      <c r="E63" s="69"/>
      <c r="F63" s="69"/>
      <c r="G63" s="69"/>
      <c r="H63" s="101"/>
      <c r="I63" s="101"/>
      <c r="J63" s="101"/>
      <c r="K63" s="101"/>
      <c r="L63" s="68"/>
      <c r="M63" s="70"/>
    </row>
    <row r="64" spans="1:13" x14ac:dyDescent="0.2">
      <c r="A64" s="169"/>
      <c r="H64" s="72"/>
      <c r="I64" s="72"/>
      <c r="J64" s="72"/>
      <c r="K64" s="72"/>
    </row>
    <row r="65" spans="2:12" x14ac:dyDescent="0.2">
      <c r="B65" s="59" t="s">
        <v>24</v>
      </c>
      <c r="D65" s="110"/>
      <c r="G65" s="72"/>
      <c r="H65" s="72"/>
      <c r="I65" s="59"/>
      <c r="J65" s="72"/>
      <c r="K65" s="72"/>
    </row>
    <row r="66" spans="2:12" x14ac:dyDescent="0.2">
      <c r="B66" s="59" t="s">
        <v>25</v>
      </c>
      <c r="D66" s="110"/>
      <c r="G66" s="72"/>
      <c r="H66" s="72"/>
      <c r="I66" s="59"/>
      <c r="J66" s="72"/>
      <c r="K66" s="72"/>
    </row>
    <row r="67" spans="2:12" x14ac:dyDescent="0.2">
      <c r="B67" s="170" t="s">
        <v>149</v>
      </c>
      <c r="C67" s="170"/>
      <c r="D67" s="170"/>
      <c r="E67" s="170"/>
      <c r="F67" s="170"/>
      <c r="G67" s="170"/>
      <c r="H67" s="170"/>
      <c r="I67" s="59"/>
      <c r="J67" s="72"/>
      <c r="K67" s="72"/>
    </row>
    <row r="68" spans="2:12" s="197" customFormat="1" ht="27" x14ac:dyDescent="0.25">
      <c r="B68" s="80" t="s">
        <v>234</v>
      </c>
      <c r="C68" s="235" t="s">
        <v>151</v>
      </c>
      <c r="D68" s="80" t="s">
        <v>285</v>
      </c>
      <c r="E68" s="80" t="s">
        <v>286</v>
      </c>
      <c r="F68" s="236" t="s">
        <v>274</v>
      </c>
      <c r="G68" s="237"/>
      <c r="H68" s="237"/>
      <c r="I68" s="237"/>
      <c r="J68" s="237"/>
      <c r="K68" s="237"/>
    </row>
    <row r="69" spans="2:12" x14ac:dyDescent="0.2">
      <c r="B69" s="171" t="s">
        <v>26</v>
      </c>
      <c r="C69" s="2"/>
      <c r="D69" s="154">
        <f>F59</f>
        <v>0</v>
      </c>
      <c r="E69" s="50">
        <v>2.1000000000000001E-2</v>
      </c>
      <c r="F69" s="51">
        <f>IFERROR(MA_mobi_gesamt[[#This Row],[Gesamte Entfernung 
(Hin-&amp; Zurück): Pkm / Jahr]]*MA_mobi_gesamt[[#This Row],[Emissionsfaktor 
(kg CO2e / Pkm )]],"k.A.")</f>
        <v>0</v>
      </c>
      <c r="G69" s="72"/>
      <c r="H69" s="72"/>
      <c r="I69" s="155"/>
      <c r="J69" s="72"/>
      <c r="K69" s="72"/>
    </row>
    <row r="70" spans="2:12" x14ac:dyDescent="0.2">
      <c r="B70" s="171" t="s">
        <v>27</v>
      </c>
      <c r="C70" s="2"/>
      <c r="D70" s="156">
        <f>H59</f>
        <v>0</v>
      </c>
      <c r="E70" s="50">
        <v>0.16400000000000001</v>
      </c>
      <c r="F70" s="51">
        <f>IFERROR(MA_mobi_gesamt[[#This Row],[Gesamte Entfernung 
(Hin-&amp; Zurück): Pkm / Jahr]]*MA_mobi_gesamt[[#This Row],[Emissionsfaktor 
(kg CO2e / Pkm )]],"k.A.")</f>
        <v>0</v>
      </c>
      <c r="G70" s="72"/>
      <c r="H70" s="72"/>
      <c r="I70" s="155"/>
      <c r="J70" s="72"/>
      <c r="K70" s="72"/>
    </row>
    <row r="71" spans="2:12" x14ac:dyDescent="0.2">
      <c r="B71" s="172" t="s">
        <v>28</v>
      </c>
      <c r="C71" s="2"/>
      <c r="D71" s="156">
        <f>G59</f>
        <v>0</v>
      </c>
      <c r="E71" s="50">
        <v>6.1333333333333302E-2</v>
      </c>
      <c r="F71" s="51">
        <f>IFERROR(MA_mobi_gesamt[[#This Row],[Gesamte Entfernung 
(Hin-&amp; Zurück): Pkm / Jahr]]*MA_mobi_gesamt[[#This Row],[Emissionsfaktor 
(kg CO2e / Pkm )]],"k.A.")</f>
        <v>0</v>
      </c>
      <c r="G71" s="72"/>
      <c r="H71" s="72"/>
      <c r="I71" s="155"/>
      <c r="J71" s="72"/>
      <c r="K71" s="72"/>
    </row>
    <row r="72" spans="2:12" ht="14.25" x14ac:dyDescent="0.25">
      <c r="B72" s="85" t="s">
        <v>29</v>
      </c>
      <c r="C72" s="2"/>
      <c r="D72" s="156">
        <f>SUBTOTAL(109,MA_mobi_gesamt[Gesamte Entfernung 
(Hin-&amp; Zurück): Pkm / Jahr])</f>
        <v>0</v>
      </c>
      <c r="E72" s="164"/>
      <c r="F72" s="56">
        <f>SUBTOTAL(109,MA_mobi_gesamt[Ergebnis 
(kg CO2e / Jahr)])</f>
        <v>0</v>
      </c>
      <c r="G72" s="338" t="s">
        <v>275</v>
      </c>
      <c r="H72" s="338"/>
      <c r="I72" s="338"/>
      <c r="J72" s="338"/>
      <c r="K72" s="338"/>
      <c r="L72" s="338"/>
    </row>
    <row r="73" spans="2:12" x14ac:dyDescent="0.2">
      <c r="C73" s="52"/>
      <c r="D73" s="52"/>
      <c r="E73" s="72"/>
      <c r="F73" s="72"/>
    </row>
  </sheetData>
  <sheetProtection algorithmName="SHA-512" hashValue="S0wNB7Iw8RfO2FUYXUj6r9wdsb/UJP1u5ASGdcwHb/hLSXkFARAE6sWnuGOOP9BksBEf0VCwWhBNOqrk8yeHXw==" saltValue="xFp+SZziQ1YlDA0mhU8wKw==" spinCount="100000" sheet="1" objects="1" scenarios="1"/>
  <protectedRanges>
    <protectedRange sqref="G39:K45 D69:D71" name="Individuelle_Mobilitätsdaten"/>
    <protectedRange sqref="D23 D26:D27 D39:D45" name="Mitarbeiterdaten_Klinik"/>
  </protectedRanges>
  <mergeCells count="10">
    <mergeCell ref="B2:L2"/>
    <mergeCell ref="B3:L3"/>
    <mergeCell ref="B4:L6"/>
    <mergeCell ref="D8:D12"/>
    <mergeCell ref="F8:F12"/>
    <mergeCell ref="G72:L72"/>
    <mergeCell ref="A15:M15"/>
    <mergeCell ref="B37:E37"/>
    <mergeCell ref="G37:K37"/>
    <mergeCell ref="B36:K36"/>
  </mergeCells>
  <conditionalFormatting sqref="E73">
    <cfRule type="expression" dxfId="161" priority="1">
      <formula>#REF!="Defaultwerte"</formula>
    </cfRule>
  </conditionalFormatting>
  <dataValidations count="1">
    <dataValidation allowBlank="1" showInputMessage="1" sqref="E68:F68"/>
  </dataValidations>
  <pageMargins left="0.7" right="0.7" top="0.78740157499999996" bottom="0.78740157499999996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5"/>
  <sheetViews>
    <sheetView tabSelected="1" zoomScaleNormal="100" workbookViewId="0">
      <selection activeCell="D8" sqref="D8:D12"/>
    </sheetView>
  </sheetViews>
  <sheetFormatPr baseColWidth="10" defaultColWidth="11.42578125" defaultRowHeight="12.75" x14ac:dyDescent="0.2"/>
  <cols>
    <col min="1" max="1" width="17" style="59" customWidth="1"/>
    <col min="2" max="2" width="46.42578125" style="59" customWidth="1"/>
    <col min="3" max="3" width="34.140625" style="59" customWidth="1"/>
    <col min="4" max="4" width="30" style="110" customWidth="1"/>
    <col min="5" max="5" width="23.7109375" style="110" customWidth="1"/>
    <col min="6" max="6" width="32.42578125" style="110" customWidth="1"/>
    <col min="7" max="7" width="23.28515625" style="110" customWidth="1"/>
    <col min="8" max="8" width="22.28515625" style="59" bestFit="1" customWidth="1"/>
    <col min="9" max="9" width="44.7109375" style="59" customWidth="1"/>
    <col min="10" max="12" width="11.42578125" style="59"/>
    <col min="13" max="13" width="29.85546875" style="59" customWidth="1"/>
    <col min="14" max="19" width="11.42578125" style="59"/>
    <col min="20" max="20" width="21.42578125" style="59" customWidth="1"/>
    <col min="21" max="16384" width="11.42578125" style="59"/>
  </cols>
  <sheetData>
    <row r="1" spans="1:20" ht="12.75" customHeight="1" thickBot="1" x14ac:dyDescent="0.25">
      <c r="D1" s="59"/>
      <c r="E1" s="59"/>
      <c r="F1" s="59"/>
      <c r="G1" s="115"/>
      <c r="H1" s="115"/>
      <c r="L1" s="115"/>
      <c r="M1" s="115"/>
    </row>
    <row r="2" spans="1:20" ht="12.75" customHeight="1" thickBot="1" x14ac:dyDescent="0.25">
      <c r="A2" s="116"/>
      <c r="B2" s="302" t="s">
        <v>289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117"/>
      <c r="N2" s="118"/>
    </row>
    <row r="3" spans="1:20" ht="12.75" customHeight="1" thickBot="1" x14ac:dyDescent="0.25">
      <c r="A3" s="58"/>
      <c r="B3" s="323" t="s">
        <v>245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20" ht="12.75" customHeight="1" x14ac:dyDescent="0.2">
      <c r="B4" s="324" t="s">
        <v>210</v>
      </c>
      <c r="C4" s="325"/>
      <c r="D4" s="325"/>
      <c r="E4" s="325"/>
      <c r="F4" s="325"/>
      <c r="G4" s="325"/>
      <c r="H4" s="325"/>
      <c r="I4" s="325"/>
      <c r="J4" s="325"/>
      <c r="K4" s="325"/>
      <c r="L4" s="326"/>
    </row>
    <row r="5" spans="1:20" ht="12.75" customHeight="1" x14ac:dyDescent="0.2">
      <c r="B5" s="327"/>
      <c r="C5" s="328"/>
      <c r="D5" s="328"/>
      <c r="E5" s="328"/>
      <c r="F5" s="328"/>
      <c r="G5" s="328"/>
      <c r="H5" s="328"/>
      <c r="I5" s="328"/>
      <c r="J5" s="328"/>
      <c r="K5" s="328"/>
      <c r="L5" s="329"/>
    </row>
    <row r="6" spans="1:20" ht="12.75" customHeight="1" x14ac:dyDescent="0.2">
      <c r="B6" s="327"/>
      <c r="C6" s="328"/>
      <c r="D6" s="328"/>
      <c r="E6" s="328"/>
      <c r="F6" s="328"/>
      <c r="G6" s="328"/>
      <c r="H6" s="328"/>
      <c r="I6" s="328"/>
      <c r="J6" s="328"/>
      <c r="K6" s="328"/>
      <c r="L6" s="329"/>
    </row>
    <row r="7" spans="1:20" s="64" customFormat="1" ht="12.75" customHeight="1" x14ac:dyDescent="0.25">
      <c r="B7" s="63" t="s">
        <v>150</v>
      </c>
      <c r="D7" s="28" t="s">
        <v>121</v>
      </c>
      <c r="E7" s="161" t="s">
        <v>203</v>
      </c>
      <c r="F7" s="161"/>
      <c r="G7" s="28"/>
      <c r="H7" s="28" t="s">
        <v>122</v>
      </c>
      <c r="I7"/>
      <c r="K7" s="65"/>
      <c r="L7" s="29"/>
      <c r="P7" s="59"/>
      <c r="Q7" s="59"/>
      <c r="R7" s="59"/>
      <c r="S7" s="59"/>
      <c r="T7" s="59"/>
    </row>
    <row r="8" spans="1:20" ht="12.75" customHeight="1" x14ac:dyDescent="0.2">
      <c r="B8" s="119"/>
      <c r="C8" s="47"/>
      <c r="D8" s="330" t="s">
        <v>124</v>
      </c>
      <c r="E8" s="59" t="s">
        <v>204</v>
      </c>
      <c r="F8" s="59"/>
      <c r="G8" s="59"/>
      <c r="H8" s="333" t="s">
        <v>124</v>
      </c>
      <c r="K8" s="62"/>
      <c r="L8" s="120"/>
    </row>
    <row r="9" spans="1:20" ht="12.75" customHeight="1" x14ac:dyDescent="0.25">
      <c r="B9" s="119"/>
      <c r="C9" s="47"/>
      <c r="D9" s="331"/>
      <c r="E9" s="188">
        <v>10</v>
      </c>
      <c r="F9"/>
      <c r="G9"/>
      <c r="H9" s="334"/>
      <c r="K9" s="62"/>
      <c r="L9" s="120"/>
    </row>
    <row r="10" spans="1:20" ht="12.75" customHeight="1" x14ac:dyDescent="0.25">
      <c r="B10" s="119"/>
      <c r="C10" s="47"/>
      <c r="D10" s="331"/>
      <c r="E10" s="188">
        <v>20</v>
      </c>
      <c r="F10"/>
      <c r="G10"/>
      <c r="H10" s="334"/>
      <c r="K10" s="62"/>
      <c r="L10" s="120"/>
    </row>
    <row r="11" spans="1:20" ht="12.75" customHeight="1" x14ac:dyDescent="0.2">
      <c r="B11" s="119"/>
      <c r="C11" s="47"/>
      <c r="D11" s="331"/>
      <c r="E11" s="59"/>
      <c r="F11" s="59"/>
      <c r="G11" s="59"/>
      <c r="H11" s="334"/>
      <c r="K11" s="62"/>
      <c r="L11" s="120"/>
    </row>
    <row r="12" spans="1:20" ht="12.75" customHeight="1" thickBot="1" x14ac:dyDescent="0.25">
      <c r="B12" s="121"/>
      <c r="C12" s="122"/>
      <c r="D12" s="332"/>
      <c r="E12" s="61"/>
      <c r="F12" s="61"/>
      <c r="G12" s="61"/>
      <c r="H12" s="335"/>
      <c r="I12" s="61"/>
      <c r="J12" s="61"/>
      <c r="K12" s="125"/>
      <c r="L12" s="126"/>
    </row>
    <row r="13" spans="1:20" ht="12.75" customHeight="1" x14ac:dyDescent="0.2">
      <c r="D13" s="59"/>
      <c r="E13" s="59"/>
      <c r="F13" s="59"/>
      <c r="G13" s="59"/>
    </row>
    <row r="14" spans="1:20" ht="13.5" thickBot="1" x14ac:dyDescent="0.25">
      <c r="D14" s="59"/>
      <c r="G14" s="59"/>
    </row>
    <row r="15" spans="1:20" ht="15.75" customHeight="1" thickBot="1" x14ac:dyDescent="0.25">
      <c r="A15" s="311" t="s">
        <v>209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3"/>
    </row>
    <row r="17" spans="1:13" ht="5.0999999999999996" customHeight="1" x14ac:dyDescent="0.2">
      <c r="H17" s="110"/>
      <c r="I17" s="110"/>
      <c r="J17" s="110"/>
      <c r="K17" s="52"/>
    </row>
    <row r="18" spans="1:13" x14ac:dyDescent="0.2">
      <c r="A18" s="67" t="s">
        <v>269</v>
      </c>
      <c r="B18" s="68"/>
      <c r="C18" s="68"/>
      <c r="D18" s="69"/>
      <c r="E18" s="69"/>
      <c r="F18" s="69"/>
      <c r="G18" s="69"/>
      <c r="H18" s="69"/>
      <c r="I18" s="69"/>
      <c r="J18" s="69"/>
      <c r="K18" s="69"/>
      <c r="L18" s="68"/>
      <c r="M18" s="70"/>
    </row>
    <row r="19" spans="1:13" x14ac:dyDescent="0.2">
      <c r="D19" s="59"/>
      <c r="E19" s="59"/>
      <c r="F19" s="222"/>
      <c r="G19" s="222"/>
      <c r="H19" s="222"/>
      <c r="I19" s="222"/>
      <c r="J19" s="222"/>
    </row>
    <row r="20" spans="1:13" ht="27" x14ac:dyDescent="0.25">
      <c r="B20" s="187" t="s">
        <v>215</v>
      </c>
      <c r="C20" s="175" t="s">
        <v>216</v>
      </c>
      <c r="D20" s="174" t="s">
        <v>212</v>
      </c>
      <c r="E20" s="44" t="s">
        <v>241</v>
      </c>
      <c r="F20" s="80" t="s">
        <v>303</v>
      </c>
      <c r="G20" s="45" t="s">
        <v>277</v>
      </c>
      <c r="H20" s="257" t="s">
        <v>276</v>
      </c>
      <c r="I20" s="258" t="s">
        <v>217</v>
      </c>
      <c r="J20" s="258" t="s">
        <v>33</v>
      </c>
    </row>
    <row r="21" spans="1:13" x14ac:dyDescent="0.2">
      <c r="B21" s="179" t="s">
        <v>30</v>
      </c>
      <c r="C21" s="176" t="s">
        <v>242</v>
      </c>
      <c r="D21" s="177"/>
      <c r="E21" s="188">
        <v>167.04190443684655</v>
      </c>
      <c r="F21" s="191">
        <f>E21*pat_notf_heli[[#This Row],[Anzahl (Notfallpatienten)]]</f>
        <v>0</v>
      </c>
      <c r="G21" s="57">
        <v>4.3157538461538456</v>
      </c>
      <c r="H21" s="255">
        <f>pat_notf_heli[[#This Row],[Gesamte Distanz 
'[Pkm / Jahr']]]*pat_notf_heli[[#This Row],[Emissionsfaktor 
'[kg CO2e / Pkm']]]</f>
        <v>0</v>
      </c>
      <c r="I21" s="256" t="s">
        <v>214</v>
      </c>
      <c r="J21" s="256" t="s">
        <v>179</v>
      </c>
    </row>
    <row r="22" spans="1:13" x14ac:dyDescent="0.2">
      <c r="B22" s="85" t="s">
        <v>213</v>
      </c>
      <c r="C22" s="2"/>
      <c r="D22" s="240">
        <f>SUBTOTAL(109,pat_notf_heli[Anzahl (Notfallpatienten)])</f>
        <v>0</v>
      </c>
      <c r="E22" s="2"/>
      <c r="F22" s="2"/>
      <c r="G22" s="2"/>
      <c r="H22" s="190">
        <f>SUBTOTAL(109,pat_notf_heli[Ergebnis 
'[kg CO2e / Jahr']])</f>
        <v>0</v>
      </c>
      <c r="I22" s="2"/>
      <c r="J22" s="2"/>
    </row>
    <row r="23" spans="1:13" x14ac:dyDescent="0.2">
      <c r="B23" s="52"/>
      <c r="C23" s="52"/>
      <c r="D23" s="72"/>
      <c r="E23" s="72"/>
      <c r="F23" s="59"/>
      <c r="G23" s="59"/>
    </row>
    <row r="24" spans="1:13" ht="5.0999999999999996" customHeight="1" x14ac:dyDescent="0.2">
      <c r="D24" s="59"/>
      <c r="E24" s="59"/>
      <c r="F24" s="59"/>
      <c r="G24" s="59"/>
    </row>
    <row r="25" spans="1:13" x14ac:dyDescent="0.2">
      <c r="A25" s="67" t="s">
        <v>270</v>
      </c>
      <c r="B25" s="68"/>
      <c r="C25" s="68"/>
      <c r="D25" s="69"/>
      <c r="E25" s="69"/>
      <c r="F25" s="69"/>
      <c r="G25" s="69"/>
      <c r="H25" s="69"/>
      <c r="I25" s="69"/>
      <c r="J25" s="69"/>
      <c r="K25" s="69"/>
      <c r="L25" s="68"/>
      <c r="M25" s="70"/>
    </row>
    <row r="26" spans="1:13" hidden="1" x14ac:dyDescent="0.2">
      <c r="D26" s="59"/>
      <c r="E26" s="59"/>
      <c r="F26" s="59"/>
      <c r="G26" s="59"/>
    </row>
    <row r="27" spans="1:13" hidden="1" x14ac:dyDescent="0.2">
      <c r="B27" s="59" t="s">
        <v>118</v>
      </c>
      <c r="C27" s="59" t="s">
        <v>40</v>
      </c>
      <c r="D27" s="59" t="s">
        <v>41</v>
      </c>
      <c r="E27" s="59" t="s">
        <v>42</v>
      </c>
      <c r="F27" s="59" t="s">
        <v>43</v>
      </c>
      <c r="G27" s="59" t="s">
        <v>44</v>
      </c>
      <c r="H27" s="59" t="s">
        <v>45</v>
      </c>
      <c r="I27" s="59" t="s">
        <v>46</v>
      </c>
      <c r="J27" s="59" t="s">
        <v>47</v>
      </c>
      <c r="K27" s="59" t="s">
        <v>48</v>
      </c>
      <c r="L27" s="59" t="s">
        <v>49</v>
      </c>
      <c r="M27" s="59" t="s">
        <v>218</v>
      </c>
    </row>
    <row r="28" spans="1:13" hidden="1" x14ac:dyDescent="0.2">
      <c r="B28" s="59" t="s">
        <v>40</v>
      </c>
      <c r="C28" s="59">
        <v>20</v>
      </c>
      <c r="D28" s="59">
        <v>190</v>
      </c>
      <c r="E28" s="59">
        <v>480</v>
      </c>
      <c r="F28" s="59">
        <v>330</v>
      </c>
      <c r="G28" s="59">
        <v>680</v>
      </c>
      <c r="H28" s="59">
        <v>570</v>
      </c>
      <c r="I28" s="59">
        <v>540</v>
      </c>
      <c r="J28" s="59">
        <v>510</v>
      </c>
      <c r="K28" s="59">
        <v>460</v>
      </c>
      <c r="L28" s="59">
        <v>320</v>
      </c>
      <c r="M28" s="59" t="s">
        <v>219</v>
      </c>
    </row>
    <row r="29" spans="1:13" hidden="1" x14ac:dyDescent="0.2">
      <c r="B29" s="59" t="s">
        <v>41</v>
      </c>
      <c r="C29" s="59">
        <v>190</v>
      </c>
      <c r="D29" s="59">
        <v>20</v>
      </c>
      <c r="E29" s="59">
        <v>290</v>
      </c>
      <c r="F29" s="59">
        <v>240</v>
      </c>
      <c r="G29" s="59">
        <v>530</v>
      </c>
      <c r="H29" s="59">
        <v>600</v>
      </c>
      <c r="I29" s="59">
        <v>620</v>
      </c>
      <c r="J29" s="59">
        <v>630</v>
      </c>
      <c r="K29" s="59">
        <v>580</v>
      </c>
      <c r="L29" s="59">
        <v>450</v>
      </c>
      <c r="M29" s="59" t="s">
        <v>220</v>
      </c>
    </row>
    <row r="30" spans="1:13" hidden="1" x14ac:dyDescent="0.2">
      <c r="B30" s="59" t="s">
        <v>42</v>
      </c>
      <c r="C30" s="59">
        <v>480</v>
      </c>
      <c r="D30" s="59">
        <v>290</v>
      </c>
      <c r="E30" s="59">
        <v>20</v>
      </c>
      <c r="F30" s="59">
        <v>270</v>
      </c>
      <c r="G30" s="59">
        <v>370</v>
      </c>
      <c r="H30" s="59">
        <v>460</v>
      </c>
      <c r="I30" s="59">
        <v>570</v>
      </c>
      <c r="J30" s="59">
        <v>650</v>
      </c>
      <c r="K30" s="59">
        <v>790</v>
      </c>
      <c r="L30" s="59">
        <v>610</v>
      </c>
      <c r="M30" s="59" t="s">
        <v>221</v>
      </c>
    </row>
    <row r="31" spans="1:13" hidden="1" x14ac:dyDescent="0.2">
      <c r="B31" s="59" t="s">
        <v>43</v>
      </c>
      <c r="C31" s="59">
        <v>330</v>
      </c>
      <c r="D31" s="59">
        <v>240</v>
      </c>
      <c r="E31" s="59">
        <v>270</v>
      </c>
      <c r="F31" s="59">
        <v>20</v>
      </c>
      <c r="G31" s="59">
        <v>500</v>
      </c>
      <c r="H31" s="59">
        <v>320</v>
      </c>
      <c r="I31" s="59">
        <v>320</v>
      </c>
      <c r="J31" s="59">
        <v>390</v>
      </c>
      <c r="K31" s="59">
        <v>520</v>
      </c>
      <c r="L31" s="59">
        <v>350</v>
      </c>
      <c r="M31" s="59" t="s">
        <v>222</v>
      </c>
    </row>
    <row r="32" spans="1:13" hidden="1" x14ac:dyDescent="0.2">
      <c r="B32" s="59" t="s">
        <v>44</v>
      </c>
      <c r="C32" s="59">
        <v>680</v>
      </c>
      <c r="D32" s="59">
        <v>530</v>
      </c>
      <c r="E32" s="59">
        <v>370</v>
      </c>
      <c r="F32" s="59">
        <v>500</v>
      </c>
      <c r="G32" s="59">
        <v>20</v>
      </c>
      <c r="H32" s="59">
        <v>420</v>
      </c>
      <c r="I32" s="59">
        <v>200</v>
      </c>
      <c r="J32" s="59">
        <v>180</v>
      </c>
      <c r="K32" s="59">
        <v>400</v>
      </c>
      <c r="L32" s="59">
        <v>380</v>
      </c>
      <c r="M32" s="59" t="s">
        <v>223</v>
      </c>
    </row>
    <row r="33" spans="2:13" hidden="1" x14ac:dyDescent="0.2">
      <c r="B33" s="59" t="s">
        <v>45</v>
      </c>
      <c r="C33" s="59">
        <v>570</v>
      </c>
      <c r="D33" s="59">
        <v>600</v>
      </c>
      <c r="E33" s="59">
        <v>460</v>
      </c>
      <c r="F33" s="59">
        <v>320</v>
      </c>
      <c r="G33" s="59">
        <v>420</v>
      </c>
      <c r="H33" s="59">
        <v>20</v>
      </c>
      <c r="I33" s="59">
        <v>290</v>
      </c>
      <c r="J33" s="59">
        <v>350</v>
      </c>
      <c r="K33" s="59">
        <v>560</v>
      </c>
      <c r="L33" s="59">
        <v>390</v>
      </c>
      <c r="M33" s="59" t="s">
        <v>224</v>
      </c>
    </row>
    <row r="34" spans="2:13" hidden="1" x14ac:dyDescent="0.2">
      <c r="B34" s="59" t="s">
        <v>46</v>
      </c>
      <c r="C34" s="59">
        <v>540</v>
      </c>
      <c r="D34" s="59">
        <v>620</v>
      </c>
      <c r="E34" s="59">
        <v>570</v>
      </c>
      <c r="F34" s="59">
        <v>320</v>
      </c>
      <c r="G34" s="59">
        <v>200</v>
      </c>
      <c r="H34" s="59">
        <v>290</v>
      </c>
      <c r="I34" s="59">
        <v>20</v>
      </c>
      <c r="J34" s="59">
        <v>130</v>
      </c>
      <c r="K34" s="59">
        <v>370</v>
      </c>
      <c r="L34" s="59">
        <v>240</v>
      </c>
      <c r="M34" s="59" t="s">
        <v>225</v>
      </c>
    </row>
    <row r="35" spans="2:13" hidden="1" x14ac:dyDescent="0.2">
      <c r="B35" s="59" t="s">
        <v>47</v>
      </c>
      <c r="C35" s="59">
        <v>510</v>
      </c>
      <c r="D35" s="59">
        <v>630</v>
      </c>
      <c r="E35" s="59">
        <v>650</v>
      </c>
      <c r="F35" s="59">
        <v>390</v>
      </c>
      <c r="G35" s="59">
        <v>180</v>
      </c>
      <c r="H35" s="59">
        <v>350</v>
      </c>
      <c r="I35" s="59">
        <v>130</v>
      </c>
      <c r="J35" s="59">
        <v>20</v>
      </c>
      <c r="K35" s="59">
        <v>230</v>
      </c>
      <c r="L35" s="59">
        <v>210</v>
      </c>
      <c r="M35" s="59" t="s">
        <v>226</v>
      </c>
    </row>
    <row r="36" spans="2:13" hidden="1" x14ac:dyDescent="0.2">
      <c r="B36" s="59" t="s">
        <v>48</v>
      </c>
      <c r="C36" s="59">
        <v>460</v>
      </c>
      <c r="D36" s="59">
        <v>580</v>
      </c>
      <c r="E36" s="59">
        <v>790</v>
      </c>
      <c r="F36" s="59">
        <v>520</v>
      </c>
      <c r="G36" s="59">
        <v>400</v>
      </c>
      <c r="H36" s="59">
        <v>560</v>
      </c>
      <c r="I36" s="59">
        <v>370</v>
      </c>
      <c r="J36" s="59">
        <v>230</v>
      </c>
      <c r="K36" s="59">
        <v>20</v>
      </c>
      <c r="L36" s="59">
        <v>170</v>
      </c>
      <c r="M36" s="59" t="s">
        <v>227</v>
      </c>
    </row>
    <row r="37" spans="2:13" hidden="1" x14ac:dyDescent="0.2">
      <c r="B37" s="59" t="s">
        <v>49</v>
      </c>
      <c r="C37" s="59">
        <v>320</v>
      </c>
      <c r="D37" s="59">
        <v>450</v>
      </c>
      <c r="E37" s="59">
        <v>610</v>
      </c>
      <c r="F37" s="59">
        <v>350</v>
      </c>
      <c r="G37" s="59">
        <v>380</v>
      </c>
      <c r="H37" s="59">
        <v>390</v>
      </c>
      <c r="I37" s="59">
        <v>240</v>
      </c>
      <c r="J37" s="59">
        <v>210</v>
      </c>
      <c r="K37" s="59">
        <v>170</v>
      </c>
      <c r="L37" s="59">
        <v>20</v>
      </c>
      <c r="M37" s="59" t="s">
        <v>228</v>
      </c>
    </row>
    <row r="38" spans="2:13" x14ac:dyDescent="0.2">
      <c r="D38" s="59"/>
      <c r="E38" s="59"/>
      <c r="F38" s="59"/>
      <c r="G38" s="59"/>
    </row>
    <row r="39" spans="2:13" x14ac:dyDescent="0.2">
      <c r="B39" s="244" t="s">
        <v>229</v>
      </c>
      <c r="C39" s="244" t="s">
        <v>229</v>
      </c>
      <c r="D39" s="249" t="s">
        <v>235</v>
      </c>
      <c r="E39" s="244"/>
      <c r="F39" s="244"/>
      <c r="G39" s="244"/>
    </row>
    <row r="40" spans="2:13" x14ac:dyDescent="0.2">
      <c r="B40" s="2"/>
      <c r="C40" s="2"/>
      <c r="D40" s="250" t="s">
        <v>47</v>
      </c>
      <c r="E40" s="248" t="s">
        <v>236</v>
      </c>
      <c r="F40" s="248"/>
      <c r="G40" s="248"/>
      <c r="I40" s="259"/>
      <c r="J40" s="259"/>
    </row>
    <row r="41" spans="2:13" x14ac:dyDescent="0.2">
      <c r="D41" s="59"/>
      <c r="E41" s="59"/>
      <c r="F41" s="59"/>
      <c r="G41" s="59"/>
      <c r="I41" s="259"/>
      <c r="J41" s="259"/>
    </row>
    <row r="42" spans="2:13" s="197" customFormat="1" ht="25.5" x14ac:dyDescent="0.25">
      <c r="B42" s="242" t="s">
        <v>39</v>
      </c>
      <c r="C42" s="247" t="s">
        <v>151</v>
      </c>
      <c r="D42" s="251" t="s">
        <v>240</v>
      </c>
      <c r="E42" s="243" t="s">
        <v>237</v>
      </c>
      <c r="F42" s="243" t="s">
        <v>239</v>
      </c>
      <c r="G42" s="245" t="s">
        <v>304</v>
      </c>
      <c r="I42" s="261"/>
      <c r="J42" s="261"/>
    </row>
    <row r="43" spans="2:13" ht="12.75" customHeight="1" x14ac:dyDescent="0.25">
      <c r="B43" s="47" t="s">
        <v>40</v>
      </c>
      <c r="C43" s="2"/>
      <c r="D43" s="246"/>
      <c r="E43" s="238" t="str">
        <f>IFERROR(pat_inl_fahrten[[#This Row],[Anzahl Patienten
(Regelkontakte)]]/pat_inl_fahrten[[#Totals],[Anzahl Patienten
(Regelkontakte)]],"k.A.")</f>
        <v>k.A.</v>
      </c>
      <c r="F43" s="239">
        <f ca="1">INDEX(OFFSET(Tabelle27[PLZ-Bereich],0,MATCH(pat_inl_fahrten[[#This Row],[Postleitzahlbereich]],Tabelle27[PLZ-Bereich],0)),MATCH(D40,C27:L27,0))</f>
        <v>510</v>
      </c>
      <c r="G43" s="180">
        <f ca="1">pat_inl_fahrten[[#This Row],[Anzahl Patienten
(Regelkontakte)]]*pat_inl_fahrten[[#This Row],[Angenommene Entfernung 
One-way '[km']]]*2</f>
        <v>0</v>
      </c>
      <c r="I43" s="260"/>
      <c r="J43" s="260"/>
      <c r="K43"/>
      <c r="L43"/>
    </row>
    <row r="44" spans="2:13" ht="12.75" customHeight="1" x14ac:dyDescent="0.25">
      <c r="B44" s="47" t="s">
        <v>41</v>
      </c>
      <c r="C44" s="2"/>
      <c r="D44" s="246"/>
      <c r="E44" s="238" t="str">
        <f>IFERROR(pat_inl_fahrten[[#This Row],[Anzahl Patienten
(Regelkontakte)]]/pat_inl_fahrten[[#Totals],[Anzahl Patienten
(Regelkontakte)]],"k.A.")</f>
        <v>k.A.</v>
      </c>
      <c r="F44" s="239">
        <f ca="1">INDEX(OFFSET(Tabelle27[PLZ-Bereich],0,MATCH(pat_inl_fahrten[[#This Row],[Postleitzahlbereich]],Tabelle27[PLZ-Bereich],0)),MATCH(D40,C27:L27,0))</f>
        <v>630</v>
      </c>
      <c r="G44" s="180">
        <f ca="1">pat_inl_fahrten[[#This Row],[Anzahl Patienten
(Regelkontakte)]]*pat_inl_fahrten[[#This Row],[Angenommene Entfernung 
One-way '[km']]]*2</f>
        <v>0</v>
      </c>
      <c r="I44" s="260"/>
      <c r="J44" s="260"/>
      <c r="K44"/>
      <c r="L44"/>
    </row>
    <row r="45" spans="2:13" ht="12.75" customHeight="1" x14ac:dyDescent="0.25">
      <c r="B45" s="47" t="s">
        <v>42</v>
      </c>
      <c r="C45" s="2"/>
      <c r="D45" s="246"/>
      <c r="E45" s="238" t="str">
        <f>IFERROR(pat_inl_fahrten[[#This Row],[Anzahl Patienten
(Regelkontakte)]]/pat_inl_fahrten[[#Totals],[Anzahl Patienten
(Regelkontakte)]],"k.A.")</f>
        <v>k.A.</v>
      </c>
      <c r="F45" s="239">
        <f ca="1">INDEX(OFFSET(Tabelle27[PLZ-Bereich],0,MATCH(pat_inl_fahrten[[#This Row],[Postleitzahlbereich]],Tabelle27[PLZ-Bereich],0)),MATCH(D40,C27:L27,0))</f>
        <v>650</v>
      </c>
      <c r="G45" s="180">
        <f ca="1">pat_inl_fahrten[[#This Row],[Anzahl Patienten
(Regelkontakte)]]*pat_inl_fahrten[[#This Row],[Angenommene Entfernung 
One-way '[km']]]*2</f>
        <v>0</v>
      </c>
      <c r="I45" s="260"/>
      <c r="J45" s="260"/>
      <c r="K45"/>
      <c r="L45"/>
    </row>
    <row r="46" spans="2:13" ht="12.75" customHeight="1" x14ac:dyDescent="0.25">
      <c r="B46" s="47" t="s">
        <v>43</v>
      </c>
      <c r="C46" s="2"/>
      <c r="D46" s="246"/>
      <c r="E46" s="238" t="str">
        <f>IFERROR(pat_inl_fahrten[[#This Row],[Anzahl Patienten
(Regelkontakte)]]/pat_inl_fahrten[[#Totals],[Anzahl Patienten
(Regelkontakte)]],"k.A.")</f>
        <v>k.A.</v>
      </c>
      <c r="F46" s="239">
        <f ca="1">INDEX(OFFSET(Tabelle27[PLZ-Bereich],0,MATCH(pat_inl_fahrten[[#This Row],[Postleitzahlbereich]],Tabelle27[PLZ-Bereich],0)),MATCH(D40,C27:L27,0))</f>
        <v>390</v>
      </c>
      <c r="G46" s="180">
        <f ca="1">pat_inl_fahrten[[#This Row],[Anzahl Patienten
(Regelkontakte)]]*pat_inl_fahrten[[#This Row],[Angenommene Entfernung 
One-way '[km']]]*2</f>
        <v>0</v>
      </c>
      <c r="I46" s="260"/>
      <c r="J46" s="260"/>
      <c r="K46"/>
      <c r="L46"/>
    </row>
    <row r="47" spans="2:13" ht="12.75" customHeight="1" x14ac:dyDescent="0.25">
      <c r="B47" s="47" t="s">
        <v>44</v>
      </c>
      <c r="C47" s="2"/>
      <c r="D47" s="246"/>
      <c r="E47" s="238" t="str">
        <f>IFERROR(pat_inl_fahrten[[#This Row],[Anzahl Patienten
(Regelkontakte)]]/pat_inl_fahrten[[#Totals],[Anzahl Patienten
(Regelkontakte)]],"k.A.")</f>
        <v>k.A.</v>
      </c>
      <c r="F47" s="239">
        <f ca="1">INDEX(OFFSET(Tabelle27[PLZ-Bereich],0,MATCH(pat_inl_fahrten[[#This Row],[Postleitzahlbereich]],Tabelle27[PLZ-Bereich],0)),MATCH(D40,C27:L27,0))</f>
        <v>180</v>
      </c>
      <c r="G47" s="180">
        <f ca="1">pat_inl_fahrten[[#This Row],[Anzahl Patienten
(Regelkontakte)]]*pat_inl_fahrten[[#This Row],[Angenommene Entfernung 
One-way '[km']]]*2</f>
        <v>0</v>
      </c>
      <c r="I47" s="260"/>
      <c r="J47" s="260"/>
      <c r="K47"/>
      <c r="L47"/>
    </row>
    <row r="48" spans="2:13" ht="12.75" customHeight="1" x14ac:dyDescent="0.25">
      <c r="B48" s="47" t="s">
        <v>45</v>
      </c>
      <c r="C48" s="2"/>
      <c r="D48" s="246"/>
      <c r="E48" s="238" t="str">
        <f>IFERROR(pat_inl_fahrten[[#This Row],[Anzahl Patienten
(Regelkontakte)]]/pat_inl_fahrten[[#Totals],[Anzahl Patienten
(Regelkontakte)]],"k.A.")</f>
        <v>k.A.</v>
      </c>
      <c r="F48" s="239">
        <f ca="1">INDEX(OFFSET(Tabelle27[PLZ-Bereich],0,MATCH(pat_inl_fahrten[[#This Row],[Postleitzahlbereich]],Tabelle27[PLZ-Bereich],0)),MATCH(D40,C27:L27,0))</f>
        <v>350</v>
      </c>
      <c r="G48" s="180">
        <f ca="1">pat_inl_fahrten[[#This Row],[Anzahl Patienten
(Regelkontakte)]]*pat_inl_fahrten[[#This Row],[Angenommene Entfernung 
One-way '[km']]]*2</f>
        <v>0</v>
      </c>
      <c r="I48"/>
      <c r="J48"/>
      <c r="K48"/>
      <c r="L48"/>
    </row>
    <row r="49" spans="1:13" ht="12.75" customHeight="1" x14ac:dyDescent="0.25">
      <c r="B49" s="47" t="s">
        <v>46</v>
      </c>
      <c r="C49" s="2"/>
      <c r="D49" s="246"/>
      <c r="E49" s="238" t="str">
        <f>IFERROR(pat_inl_fahrten[[#This Row],[Anzahl Patienten
(Regelkontakte)]]/pat_inl_fahrten[[#Totals],[Anzahl Patienten
(Regelkontakte)]],"k.A.")</f>
        <v>k.A.</v>
      </c>
      <c r="F49" s="239">
        <f ca="1">INDEX(OFFSET(Tabelle27[PLZ-Bereich],0,MATCH(pat_inl_fahrten[[#This Row],[Postleitzahlbereich]],Tabelle27[PLZ-Bereich],0)),MATCH(D40,C27:L27,0))</f>
        <v>130</v>
      </c>
      <c r="G49" s="180">
        <f ca="1">pat_inl_fahrten[[#This Row],[Anzahl Patienten
(Regelkontakte)]]*pat_inl_fahrten[[#This Row],[Angenommene Entfernung 
One-way '[km']]]*2</f>
        <v>0</v>
      </c>
      <c r="I49"/>
      <c r="J49"/>
      <c r="K49"/>
      <c r="L49"/>
    </row>
    <row r="50" spans="1:13" ht="12.75" customHeight="1" x14ac:dyDescent="0.2">
      <c r="B50" s="47" t="s">
        <v>47</v>
      </c>
      <c r="C50" s="2"/>
      <c r="D50" s="246"/>
      <c r="E50" s="238" t="str">
        <f>IFERROR(pat_inl_fahrten[[#This Row],[Anzahl Patienten
(Regelkontakte)]]/pat_inl_fahrten[[#Totals],[Anzahl Patienten
(Regelkontakte)]],"k.A.")</f>
        <v>k.A.</v>
      </c>
      <c r="F50" s="239">
        <f ca="1">INDEX(OFFSET(Tabelle27[PLZ-Bereich],0,MATCH(pat_inl_fahrten[[#This Row],[Postleitzahlbereich]],Tabelle27[PLZ-Bereich],0)),MATCH(D40,C27:L27,0))</f>
        <v>20</v>
      </c>
      <c r="G50" s="180">
        <f ca="1">pat_inl_fahrten[[#This Row],[Anzahl Patienten
(Regelkontakte)]]*pat_inl_fahrten[[#This Row],[Angenommene Entfernung 
One-way '[km']]]*2</f>
        <v>0</v>
      </c>
    </row>
    <row r="51" spans="1:13" ht="12.75" customHeight="1" x14ac:dyDescent="0.2">
      <c r="B51" s="47" t="s">
        <v>48</v>
      </c>
      <c r="C51" s="2"/>
      <c r="D51" s="246"/>
      <c r="E51" s="238" t="str">
        <f>IFERROR(pat_inl_fahrten[[#This Row],[Anzahl Patienten
(Regelkontakte)]]/pat_inl_fahrten[[#Totals],[Anzahl Patienten
(Regelkontakte)]],"k.A.")</f>
        <v>k.A.</v>
      </c>
      <c r="F51" s="239">
        <f ca="1">INDEX(OFFSET(Tabelle27[PLZ-Bereich],0,MATCH(pat_inl_fahrten[[#This Row],[Postleitzahlbereich]],Tabelle27[PLZ-Bereich],0)),MATCH(D40,C27:L27,0))</f>
        <v>230</v>
      </c>
      <c r="G51" s="180">
        <f ca="1">pat_inl_fahrten[[#This Row],[Anzahl Patienten
(Regelkontakte)]]*pat_inl_fahrten[[#This Row],[Angenommene Entfernung 
One-way '[km']]]*2</f>
        <v>0</v>
      </c>
    </row>
    <row r="52" spans="1:13" ht="12.75" customHeight="1" x14ac:dyDescent="0.2">
      <c r="B52" s="47" t="s">
        <v>49</v>
      </c>
      <c r="C52" s="2"/>
      <c r="D52" s="246"/>
      <c r="E52" s="238" t="str">
        <f>IFERROR(pat_inl_fahrten[[#This Row],[Anzahl Patienten
(Regelkontakte)]]/pat_inl_fahrten[[#Totals],[Anzahl Patienten
(Regelkontakte)]],"k.A.")</f>
        <v>k.A.</v>
      </c>
      <c r="F52" s="239">
        <f ca="1">INDEX(OFFSET(Tabelle27[PLZ-Bereich],0,MATCH(pat_inl_fahrten[[#This Row],[Postleitzahlbereich]],Tabelle27[PLZ-Bereich],0)),MATCH(D40,C27:L27,0))</f>
        <v>210</v>
      </c>
      <c r="G52" s="180">
        <f ca="1">pat_inl_fahrten[[#This Row],[Anzahl Patienten
(Regelkontakte)]]*pat_inl_fahrten[[#This Row],[Angenommene Entfernung 
One-way '[km']]]*2</f>
        <v>0</v>
      </c>
    </row>
    <row r="53" spans="1:13" ht="12.75" customHeight="1" x14ac:dyDescent="0.2">
      <c r="B53" s="178" t="s">
        <v>0</v>
      </c>
      <c r="C53" s="2"/>
      <c r="D53" s="240">
        <f>SUBTOTAL(109,pat_inl_fahrten[Anzahl Patienten
(Regelkontakte)])</f>
        <v>0</v>
      </c>
      <c r="E53" s="241">
        <f>SUBTOTAL(109,pat_inl_fahrten[Anteil '[%']])</f>
        <v>0</v>
      </c>
      <c r="F53" s="178"/>
      <c r="G53" s="181">
        <f ca="1">SUBTOTAL(109,pat_inl_fahrten[Gesamtdistanzen Regelkontakte '[Pkm']])</f>
        <v>0</v>
      </c>
    </row>
    <row r="54" spans="1:13" x14ac:dyDescent="0.2">
      <c r="D54" s="59"/>
      <c r="E54" s="59"/>
      <c r="F54" s="59"/>
      <c r="G54" s="59"/>
    </row>
    <row r="55" spans="1:13" x14ac:dyDescent="0.2">
      <c r="B55" s="249" t="s">
        <v>282</v>
      </c>
      <c r="C55" s="244"/>
      <c r="D55" s="244"/>
      <c r="E55" s="244"/>
      <c r="F55" s="244"/>
      <c r="G55" s="244"/>
      <c r="H55" s="244"/>
      <c r="I55" s="244"/>
      <c r="J55" s="244"/>
    </row>
    <row r="56" spans="1:13" ht="27" x14ac:dyDescent="0.2">
      <c r="B56" s="242" t="s">
        <v>32</v>
      </c>
      <c r="C56" s="247" t="s">
        <v>151</v>
      </c>
      <c r="D56" s="243" t="s">
        <v>238</v>
      </c>
      <c r="E56" s="243" t="s">
        <v>283</v>
      </c>
      <c r="F56" s="247" t="s">
        <v>195</v>
      </c>
      <c r="G56" s="247" t="s">
        <v>196</v>
      </c>
      <c r="H56" s="266" t="s">
        <v>276</v>
      </c>
      <c r="I56" s="243" t="s">
        <v>217</v>
      </c>
      <c r="J56" s="243" t="s">
        <v>33</v>
      </c>
    </row>
    <row r="57" spans="1:13" x14ac:dyDescent="0.2">
      <c r="B57" s="47" t="s">
        <v>31</v>
      </c>
      <c r="C57" s="2"/>
      <c r="D57" s="253">
        <f ca="1">pat_inl_fahrten[[#Totals],[Gesamtdistanzen Regelkontakte '[Pkm']]]</f>
        <v>0</v>
      </c>
      <c r="E57" s="252">
        <v>0.16400000000000001</v>
      </c>
      <c r="F57" s="2"/>
      <c r="G57" s="2"/>
      <c r="H57" s="254">
        <f ca="1">D57*E57</f>
        <v>0</v>
      </c>
      <c r="I57" s="189" t="s">
        <v>214</v>
      </c>
      <c r="J57" s="189" t="s">
        <v>179</v>
      </c>
    </row>
    <row r="58" spans="1:13" x14ac:dyDescent="0.2">
      <c r="B58" s="193" t="s">
        <v>158</v>
      </c>
      <c r="C58" s="267"/>
      <c r="D58" s="268"/>
      <c r="E58" s="268"/>
      <c r="F58" s="267"/>
      <c r="G58" s="267"/>
      <c r="H58" s="270">
        <f ca="1">SUBTOTAL(109,pat_inl_ergeb[Ergebnis 
'[kg CO2e / Jahr']])</f>
        <v>0</v>
      </c>
      <c r="I58" s="269"/>
      <c r="J58" s="269">
        <f>SUBTOTAL(103,pat_inl_ergeb[Quelle])</f>
        <v>1</v>
      </c>
    </row>
    <row r="59" spans="1:13" x14ac:dyDescent="0.2">
      <c r="D59" s="59"/>
      <c r="E59" s="59"/>
      <c r="F59" s="59"/>
      <c r="G59" s="59"/>
    </row>
    <row r="60" spans="1:13" ht="5.0999999999999996" customHeight="1" x14ac:dyDescent="0.2">
      <c r="D60" s="59"/>
      <c r="E60" s="59"/>
      <c r="F60" s="59"/>
      <c r="G60" s="59"/>
    </row>
    <row r="61" spans="1:13" x14ac:dyDescent="0.2">
      <c r="A61" s="67" t="s">
        <v>271</v>
      </c>
      <c r="B61" s="68"/>
      <c r="C61" s="68"/>
      <c r="D61" s="69"/>
      <c r="E61" s="69"/>
      <c r="F61" s="69"/>
      <c r="G61" s="69"/>
      <c r="H61" s="69"/>
      <c r="I61" s="69"/>
      <c r="J61" s="69"/>
      <c r="K61" s="69"/>
      <c r="L61" s="68"/>
      <c r="M61" s="70"/>
    </row>
    <row r="62" spans="1:13" x14ac:dyDescent="0.2">
      <c r="D62" s="59"/>
      <c r="E62" s="59"/>
      <c r="F62" s="59"/>
      <c r="G62" s="59"/>
    </row>
    <row r="63" spans="1:13" ht="25.5" x14ac:dyDescent="0.2">
      <c r="B63" s="43" t="s">
        <v>243</v>
      </c>
      <c r="C63" s="43" t="s">
        <v>178</v>
      </c>
      <c r="D63" s="44" t="s">
        <v>240</v>
      </c>
      <c r="E63" s="44" t="s">
        <v>244</v>
      </c>
    </row>
    <row r="64" spans="1:13" x14ac:dyDescent="0.2">
      <c r="B64" s="47" t="s">
        <v>56</v>
      </c>
      <c r="C64" s="47" t="s">
        <v>35</v>
      </c>
      <c r="D64" s="48"/>
      <c r="E64" s="49"/>
    </row>
    <row r="65" spans="2:7" x14ac:dyDescent="0.2">
      <c r="B65" s="47" t="s">
        <v>57</v>
      </c>
      <c r="C65" s="47" t="s">
        <v>36</v>
      </c>
      <c r="D65" s="48"/>
      <c r="E65" s="49"/>
    </row>
    <row r="66" spans="2:7" x14ac:dyDescent="0.2">
      <c r="B66" s="47" t="s">
        <v>58</v>
      </c>
      <c r="C66" s="47" t="s">
        <v>38</v>
      </c>
      <c r="D66" s="48"/>
      <c r="E66" s="49"/>
    </row>
    <row r="67" spans="2:7" x14ac:dyDescent="0.2">
      <c r="B67" s="47" t="s">
        <v>59</v>
      </c>
      <c r="C67" s="47" t="s">
        <v>36</v>
      </c>
      <c r="D67" s="48"/>
      <c r="E67" s="49"/>
    </row>
    <row r="68" spans="2:7" x14ac:dyDescent="0.2">
      <c r="B68" s="47" t="s">
        <v>60</v>
      </c>
      <c r="C68" s="47" t="s">
        <v>37</v>
      </c>
      <c r="D68" s="48"/>
      <c r="E68" s="49"/>
    </row>
    <row r="69" spans="2:7" x14ac:dyDescent="0.2">
      <c r="B69" s="47" t="s">
        <v>61</v>
      </c>
      <c r="C69" s="47" t="s">
        <v>35</v>
      </c>
      <c r="D69" s="48"/>
      <c r="E69" s="49"/>
    </row>
    <row r="70" spans="2:7" x14ac:dyDescent="0.2">
      <c r="B70" s="47" t="s">
        <v>62</v>
      </c>
      <c r="C70" s="47" t="s">
        <v>36</v>
      </c>
      <c r="D70" s="48"/>
      <c r="E70" s="49"/>
    </row>
    <row r="71" spans="2:7" x14ac:dyDescent="0.2">
      <c r="B71" s="47" t="s">
        <v>64</v>
      </c>
      <c r="C71" s="47" t="s">
        <v>37</v>
      </c>
      <c r="D71" s="48"/>
      <c r="E71" s="49"/>
      <c r="F71" s="59"/>
      <c r="G71" s="59"/>
    </row>
    <row r="72" spans="2:7" x14ac:dyDescent="0.2">
      <c r="B72" s="47" t="s">
        <v>66</v>
      </c>
      <c r="C72" s="47" t="s">
        <v>37</v>
      </c>
      <c r="D72" s="48"/>
      <c r="E72" s="49"/>
      <c r="F72" s="59"/>
      <c r="G72" s="59"/>
    </row>
    <row r="73" spans="2:7" x14ac:dyDescent="0.2">
      <c r="B73" s="47" t="s">
        <v>67</v>
      </c>
      <c r="C73" s="47" t="s">
        <v>37</v>
      </c>
      <c r="D73" s="48"/>
      <c r="E73" s="49"/>
      <c r="F73" s="59"/>
      <c r="G73" s="59"/>
    </row>
    <row r="74" spans="2:7" x14ac:dyDescent="0.2">
      <c r="B74" s="47" t="s">
        <v>68</v>
      </c>
      <c r="C74" s="47" t="s">
        <v>37</v>
      </c>
      <c r="D74" s="48"/>
      <c r="E74" s="49"/>
      <c r="F74" s="59"/>
      <c r="G74" s="59"/>
    </row>
    <row r="75" spans="2:7" x14ac:dyDescent="0.2">
      <c r="B75" s="47" t="s">
        <v>69</v>
      </c>
      <c r="C75" s="47" t="s">
        <v>36</v>
      </c>
      <c r="D75" s="48"/>
      <c r="E75" s="49"/>
      <c r="F75" s="59"/>
      <c r="G75" s="59"/>
    </row>
    <row r="76" spans="2:7" x14ac:dyDescent="0.2">
      <c r="B76" s="47" t="s">
        <v>70</v>
      </c>
      <c r="C76" s="47" t="s">
        <v>37</v>
      </c>
      <c r="D76" s="48"/>
      <c r="E76" s="49"/>
      <c r="F76" s="59"/>
      <c r="G76" s="59"/>
    </row>
    <row r="77" spans="2:7" x14ac:dyDescent="0.2">
      <c r="B77" s="47" t="s">
        <v>71</v>
      </c>
      <c r="C77" s="47" t="s">
        <v>36</v>
      </c>
      <c r="D77" s="48"/>
      <c r="E77" s="49"/>
      <c r="F77" s="59"/>
      <c r="G77" s="59"/>
    </row>
    <row r="78" spans="2:7" x14ac:dyDescent="0.2">
      <c r="B78" s="47" t="s">
        <v>72</v>
      </c>
      <c r="C78" s="47" t="s">
        <v>37</v>
      </c>
      <c r="D78" s="48"/>
      <c r="E78" s="49"/>
      <c r="F78" s="59"/>
      <c r="G78" s="59"/>
    </row>
    <row r="79" spans="2:7" x14ac:dyDescent="0.2">
      <c r="B79" s="47" t="s">
        <v>73</v>
      </c>
      <c r="C79" s="47" t="s">
        <v>36</v>
      </c>
      <c r="D79" s="48"/>
      <c r="E79" s="49"/>
      <c r="F79" s="59"/>
      <c r="G79" s="59"/>
    </row>
    <row r="80" spans="2:7" x14ac:dyDescent="0.2">
      <c r="B80" s="47" t="s">
        <v>74</v>
      </c>
      <c r="C80" s="47" t="s">
        <v>35</v>
      </c>
      <c r="D80" s="48"/>
      <c r="E80" s="49"/>
      <c r="F80" s="59"/>
      <c r="G80" s="59"/>
    </row>
    <row r="81" spans="2:7" x14ac:dyDescent="0.2">
      <c r="B81" s="47" t="s">
        <v>75</v>
      </c>
      <c r="C81" s="47" t="s">
        <v>36</v>
      </c>
      <c r="D81" s="48"/>
      <c r="E81" s="49"/>
      <c r="F81" s="59"/>
      <c r="G81" s="59"/>
    </row>
    <row r="82" spans="2:7" x14ac:dyDescent="0.2">
      <c r="B82" s="47" t="s">
        <v>76</v>
      </c>
      <c r="C82" s="47" t="s">
        <v>35</v>
      </c>
      <c r="D82" s="48"/>
      <c r="E82" s="49"/>
      <c r="F82" s="59"/>
      <c r="G82" s="59"/>
    </row>
    <row r="83" spans="2:7" x14ac:dyDescent="0.2">
      <c r="B83" s="47" t="s">
        <v>177</v>
      </c>
      <c r="C83" s="47" t="s">
        <v>37</v>
      </c>
      <c r="D83" s="48"/>
      <c r="E83" s="49"/>
      <c r="F83" s="59"/>
      <c r="G83" s="59"/>
    </row>
    <row r="84" spans="2:7" x14ac:dyDescent="0.2">
      <c r="B84" s="47" t="s">
        <v>77</v>
      </c>
      <c r="C84" s="47" t="s">
        <v>37</v>
      </c>
      <c r="D84" s="48"/>
      <c r="E84" s="49"/>
      <c r="F84" s="59"/>
      <c r="G84" s="59"/>
    </row>
    <row r="85" spans="2:7" x14ac:dyDescent="0.2">
      <c r="B85" s="47" t="s">
        <v>79</v>
      </c>
      <c r="C85" s="47" t="s">
        <v>34</v>
      </c>
      <c r="D85" s="48"/>
      <c r="E85" s="49"/>
      <c r="F85" s="59"/>
      <c r="G85" s="59"/>
    </row>
    <row r="86" spans="2:7" x14ac:dyDescent="0.2">
      <c r="B86" s="47" t="s">
        <v>80</v>
      </c>
      <c r="C86" s="47" t="s">
        <v>36</v>
      </c>
      <c r="D86" s="48"/>
      <c r="E86" s="49"/>
      <c r="F86" s="59"/>
      <c r="G86" s="59"/>
    </row>
    <row r="87" spans="2:7" x14ac:dyDescent="0.2">
      <c r="B87" s="47" t="s">
        <v>170</v>
      </c>
      <c r="C87" s="47" t="s">
        <v>37</v>
      </c>
      <c r="D87" s="48"/>
      <c r="E87" s="49"/>
      <c r="F87" s="59"/>
      <c r="G87" s="59"/>
    </row>
    <row r="88" spans="2:7" x14ac:dyDescent="0.2">
      <c r="B88" s="47" t="s">
        <v>81</v>
      </c>
      <c r="C88" s="47" t="s">
        <v>36</v>
      </c>
      <c r="D88" s="48"/>
      <c r="E88" s="49"/>
      <c r="F88" s="59"/>
      <c r="G88" s="59"/>
    </row>
    <row r="89" spans="2:7" x14ac:dyDescent="0.2">
      <c r="B89" s="47" t="s">
        <v>83</v>
      </c>
      <c r="C89" s="47" t="s">
        <v>38</v>
      </c>
      <c r="D89" s="48"/>
      <c r="E89" s="49"/>
      <c r="F89" s="59"/>
      <c r="G89" s="59"/>
    </row>
    <row r="90" spans="2:7" x14ac:dyDescent="0.2">
      <c r="B90" s="47" t="s">
        <v>84</v>
      </c>
      <c r="C90" s="47" t="s">
        <v>37</v>
      </c>
      <c r="D90" s="48"/>
      <c r="E90" s="49"/>
      <c r="F90" s="59"/>
      <c r="G90" s="59"/>
    </row>
    <row r="91" spans="2:7" x14ac:dyDescent="0.2">
      <c r="B91" s="47" t="s">
        <v>85</v>
      </c>
      <c r="C91" s="47" t="s">
        <v>37</v>
      </c>
      <c r="D91" s="48"/>
      <c r="E91" s="49"/>
      <c r="F91" s="59"/>
      <c r="G91" s="59"/>
    </row>
    <row r="92" spans="2:7" x14ac:dyDescent="0.2">
      <c r="B92" s="47" t="s">
        <v>86</v>
      </c>
      <c r="C92" s="47" t="s">
        <v>37</v>
      </c>
      <c r="D92" s="48"/>
      <c r="E92" s="49"/>
      <c r="F92" s="59"/>
      <c r="G92" s="59"/>
    </row>
    <row r="93" spans="2:7" x14ac:dyDescent="0.2">
      <c r="B93" s="47" t="s">
        <v>87</v>
      </c>
      <c r="C93" s="47" t="s">
        <v>35</v>
      </c>
      <c r="D93" s="48"/>
      <c r="E93" s="49"/>
      <c r="F93" s="59"/>
      <c r="G93" s="59"/>
    </row>
    <row r="94" spans="2:7" x14ac:dyDescent="0.2">
      <c r="B94" s="47" t="s">
        <v>88</v>
      </c>
      <c r="C94" s="47" t="s">
        <v>37</v>
      </c>
      <c r="D94" s="48"/>
      <c r="E94" s="49"/>
      <c r="F94" s="59"/>
      <c r="G94" s="59"/>
    </row>
    <row r="95" spans="2:7" x14ac:dyDescent="0.2">
      <c r="B95" s="47" t="s">
        <v>89</v>
      </c>
      <c r="C95" s="47" t="s">
        <v>37</v>
      </c>
      <c r="D95" s="48"/>
      <c r="E95" s="49"/>
      <c r="F95" s="59"/>
      <c r="G95" s="59"/>
    </row>
    <row r="96" spans="2:7" x14ac:dyDescent="0.2">
      <c r="B96" s="47" t="s">
        <v>90</v>
      </c>
      <c r="C96" s="47" t="s">
        <v>36</v>
      </c>
      <c r="D96" s="48"/>
      <c r="E96" s="49"/>
      <c r="F96" s="59"/>
      <c r="G96" s="59"/>
    </row>
    <row r="97" spans="2:7" x14ac:dyDescent="0.2">
      <c r="B97" s="47" t="s">
        <v>91</v>
      </c>
      <c r="C97" s="47" t="s">
        <v>37</v>
      </c>
      <c r="D97" s="48"/>
      <c r="E97" s="49"/>
      <c r="F97" s="59"/>
      <c r="G97" s="59"/>
    </row>
    <row r="98" spans="2:7" x14ac:dyDescent="0.2">
      <c r="B98" s="47" t="s">
        <v>92</v>
      </c>
      <c r="C98" s="47" t="s">
        <v>36</v>
      </c>
      <c r="D98" s="48"/>
      <c r="E98" s="49"/>
      <c r="F98" s="59"/>
      <c r="G98" s="59"/>
    </row>
    <row r="99" spans="2:7" x14ac:dyDescent="0.2">
      <c r="B99" s="47" t="s">
        <v>93</v>
      </c>
      <c r="C99" s="47" t="s">
        <v>37</v>
      </c>
      <c r="D99" s="48"/>
      <c r="E99" s="49"/>
      <c r="F99" s="59"/>
      <c r="G99" s="59"/>
    </row>
    <row r="100" spans="2:7" x14ac:dyDescent="0.2">
      <c r="B100" s="47" t="s">
        <v>94</v>
      </c>
      <c r="C100" s="47" t="s">
        <v>37</v>
      </c>
      <c r="D100" s="48"/>
      <c r="E100" s="49"/>
      <c r="F100" s="59"/>
      <c r="G100" s="59"/>
    </row>
    <row r="101" spans="2:7" x14ac:dyDescent="0.2">
      <c r="B101" s="47" t="s">
        <v>95</v>
      </c>
      <c r="C101" s="47" t="s">
        <v>37</v>
      </c>
      <c r="D101" s="48"/>
      <c r="E101" s="49"/>
      <c r="F101" s="59"/>
      <c r="G101" s="59"/>
    </row>
    <row r="102" spans="2:7" x14ac:dyDescent="0.2">
      <c r="B102" s="47" t="s">
        <v>96</v>
      </c>
      <c r="C102" s="47" t="s">
        <v>36</v>
      </c>
      <c r="D102" s="48"/>
      <c r="E102" s="49"/>
      <c r="F102" s="59"/>
      <c r="G102" s="59"/>
    </row>
    <row r="103" spans="2:7" x14ac:dyDescent="0.2">
      <c r="B103" s="47" t="s">
        <v>98</v>
      </c>
      <c r="C103" s="47" t="s">
        <v>37</v>
      </c>
      <c r="D103" s="48"/>
      <c r="E103" s="49"/>
      <c r="F103" s="59"/>
      <c r="G103" s="59"/>
    </row>
    <row r="104" spans="2:7" x14ac:dyDescent="0.2">
      <c r="B104" s="47" t="s">
        <v>99</v>
      </c>
      <c r="C104" s="47" t="s">
        <v>37</v>
      </c>
      <c r="D104" s="48"/>
      <c r="E104" s="49"/>
      <c r="F104" s="59"/>
      <c r="G104" s="59"/>
    </row>
    <row r="105" spans="2:7" x14ac:dyDescent="0.2">
      <c r="B105" s="47" t="s">
        <v>100</v>
      </c>
      <c r="C105" s="47" t="s">
        <v>34</v>
      </c>
      <c r="D105" s="48"/>
      <c r="E105" s="49"/>
      <c r="F105" s="59"/>
      <c r="G105" s="59"/>
    </row>
    <row r="106" spans="2:7" x14ac:dyDescent="0.2">
      <c r="B106" s="47" t="s">
        <v>101</v>
      </c>
      <c r="C106" s="47" t="s">
        <v>36</v>
      </c>
      <c r="D106" s="48"/>
      <c r="E106" s="49"/>
      <c r="F106" s="59"/>
      <c r="G106" s="59"/>
    </row>
    <row r="107" spans="2:7" x14ac:dyDescent="0.2">
      <c r="B107" s="47" t="s">
        <v>102</v>
      </c>
      <c r="C107" s="47" t="s">
        <v>36</v>
      </c>
      <c r="D107" s="48"/>
      <c r="E107" s="49"/>
      <c r="F107" s="59"/>
      <c r="G107" s="59"/>
    </row>
    <row r="108" spans="2:7" x14ac:dyDescent="0.2">
      <c r="B108" s="47" t="s">
        <v>103</v>
      </c>
      <c r="C108" s="47" t="s">
        <v>37</v>
      </c>
      <c r="D108" s="48"/>
      <c r="E108" s="49"/>
      <c r="F108" s="59"/>
      <c r="G108" s="59"/>
    </row>
    <row r="109" spans="2:7" x14ac:dyDescent="0.2">
      <c r="B109" s="47" t="s">
        <v>104</v>
      </c>
      <c r="C109" s="47" t="s">
        <v>37</v>
      </c>
      <c r="D109" s="48"/>
      <c r="E109" s="49"/>
      <c r="F109" s="59"/>
      <c r="G109" s="59"/>
    </row>
    <row r="110" spans="2:7" x14ac:dyDescent="0.2">
      <c r="B110" s="47" t="s">
        <v>105</v>
      </c>
      <c r="C110" s="47" t="s">
        <v>37</v>
      </c>
      <c r="D110" s="48"/>
      <c r="E110" s="49"/>
    </row>
    <row r="111" spans="2:7" x14ac:dyDescent="0.2">
      <c r="B111" s="47" t="s">
        <v>106</v>
      </c>
      <c r="C111" s="47" t="s">
        <v>36</v>
      </c>
      <c r="D111" s="48"/>
      <c r="E111" s="49"/>
    </row>
    <row r="112" spans="2:7" x14ac:dyDescent="0.2">
      <c r="B112" s="47" t="s">
        <v>171</v>
      </c>
      <c r="C112" s="47" t="s">
        <v>35</v>
      </c>
      <c r="D112" s="48"/>
      <c r="E112" s="49"/>
    </row>
    <row r="113" spans="2:10" x14ac:dyDescent="0.2">
      <c r="B113" s="263" t="s">
        <v>193</v>
      </c>
      <c r="C113" s="264" t="s">
        <v>37</v>
      </c>
      <c r="D113" s="48"/>
      <c r="E113" s="265" t="s">
        <v>194</v>
      </c>
    </row>
    <row r="114" spans="2:10" x14ac:dyDescent="0.2">
      <c r="B114" s="263" t="s">
        <v>193</v>
      </c>
      <c r="C114" s="264" t="s">
        <v>35</v>
      </c>
      <c r="D114" s="48"/>
      <c r="E114" s="265" t="s">
        <v>194</v>
      </c>
    </row>
    <row r="115" spans="2:10" x14ac:dyDescent="0.2">
      <c r="B115" s="263" t="s">
        <v>193</v>
      </c>
      <c r="C115" s="264" t="s">
        <v>34</v>
      </c>
      <c r="D115" s="48"/>
      <c r="E115" s="265" t="s">
        <v>194</v>
      </c>
    </row>
    <row r="116" spans="2:10" x14ac:dyDescent="0.2">
      <c r="B116" s="263" t="s">
        <v>193</v>
      </c>
      <c r="C116" s="264" t="s">
        <v>36</v>
      </c>
      <c r="D116" s="48"/>
      <c r="E116" s="265" t="s">
        <v>194</v>
      </c>
    </row>
    <row r="117" spans="2:10" x14ac:dyDescent="0.2">
      <c r="B117" s="263" t="s">
        <v>193</v>
      </c>
      <c r="C117" s="264" t="s">
        <v>38</v>
      </c>
      <c r="D117" s="262"/>
      <c r="E117" s="265" t="s">
        <v>194</v>
      </c>
    </row>
    <row r="118" spans="2:10" x14ac:dyDescent="0.2">
      <c r="D118" s="59"/>
      <c r="E118" s="59"/>
      <c r="F118" s="59"/>
      <c r="G118" s="59"/>
    </row>
    <row r="119" spans="2:10" x14ac:dyDescent="0.2">
      <c r="B119" s="249" t="s">
        <v>280</v>
      </c>
      <c r="C119" s="244"/>
      <c r="D119" s="244"/>
      <c r="E119" s="244"/>
      <c r="F119" s="244"/>
      <c r="G119" s="244"/>
      <c r="H119" s="244"/>
      <c r="I119" s="244"/>
      <c r="J119" s="244"/>
    </row>
    <row r="120" spans="2:10" ht="27" x14ac:dyDescent="0.25">
      <c r="B120" s="43" t="s">
        <v>230</v>
      </c>
      <c r="C120" s="43" t="s">
        <v>175</v>
      </c>
      <c r="D120" s="80" t="s">
        <v>160</v>
      </c>
      <c r="E120" s="44" t="s">
        <v>241</v>
      </c>
      <c r="F120" s="80" t="s">
        <v>303</v>
      </c>
      <c r="G120" s="45" t="s">
        <v>277</v>
      </c>
      <c r="H120" s="257" t="s">
        <v>276</v>
      </c>
      <c r="I120" s="46" t="s">
        <v>168</v>
      </c>
      <c r="J120" s="46" t="s">
        <v>33</v>
      </c>
    </row>
    <row r="121" spans="2:10" x14ac:dyDescent="0.2">
      <c r="B121" s="47" t="s">
        <v>173</v>
      </c>
      <c r="C121" s="47" t="s">
        <v>37</v>
      </c>
      <c r="D121" s="49">
        <f>SUMIFS(Pat_ausl_Flüge[Anzahl Patienten
(Regelkontakte)],Pat_ausl_Flüge[Region (Zuordnung)],Pat_ausl_ergeb[[#This Row],[Zielland]])</f>
        <v>0</v>
      </c>
      <c r="E121" s="49">
        <v>1500</v>
      </c>
      <c r="F121" s="49">
        <f>Pat_ausl_ergeb[[#This Row],[Anzahl Flüge]]*Pat_ausl_ergeb[[#This Row],[Annahme Entfernung One-Way '[km']]]*2</f>
        <v>0</v>
      </c>
      <c r="G121" s="50">
        <v>0.25871740161073797</v>
      </c>
      <c r="H121" s="51">
        <f>Pat_ausl_ergeb[[#This Row],[Gesamte Distanz 
'[Pkm / Jahr']]]*Pat_ausl_ergeb[[#This Row],[Emissionsfaktor 
'[kg CO2e / Pkm']]]</f>
        <v>0</v>
      </c>
      <c r="I121" s="192" t="s">
        <v>165</v>
      </c>
      <c r="J121" s="52" t="s">
        <v>179</v>
      </c>
    </row>
    <row r="122" spans="2:10" x14ac:dyDescent="0.2">
      <c r="B122" s="47" t="s">
        <v>173</v>
      </c>
      <c r="C122" s="47" t="s">
        <v>35</v>
      </c>
      <c r="D122" s="49">
        <f>SUMIFS(Pat_ausl_Flüge[Anzahl Patienten
(Regelkontakte)],Pat_ausl_Flüge[Region (Zuordnung)],Pat_ausl_ergeb[[#This Row],[Zielland]])</f>
        <v>0</v>
      </c>
      <c r="E122" s="49">
        <v>8000</v>
      </c>
      <c r="F122" s="49">
        <f>Pat_ausl_ergeb[[#This Row],[Anzahl Flüge]]*Pat_ausl_ergeb[[#This Row],[Annahme Entfernung One-Way '[km']]]*2</f>
        <v>0</v>
      </c>
      <c r="G122" s="50">
        <v>0.32537799150830105</v>
      </c>
      <c r="H122" s="51">
        <f>Pat_ausl_ergeb[[#This Row],[Gesamte Distanz 
'[Pkm / Jahr']]]*Pat_ausl_ergeb[[#This Row],[Emissionsfaktor 
'[kg CO2e / Pkm']]]</f>
        <v>0</v>
      </c>
      <c r="I122" s="192" t="s">
        <v>163</v>
      </c>
      <c r="J122" s="52" t="s">
        <v>179</v>
      </c>
    </row>
    <row r="123" spans="2:10" x14ac:dyDescent="0.2">
      <c r="B123" s="47" t="s">
        <v>173</v>
      </c>
      <c r="C123" s="47" t="s">
        <v>34</v>
      </c>
      <c r="D123" s="49">
        <f>SUMIFS(Pat_ausl_Flüge[Anzahl Patienten
(Regelkontakte)],Pat_ausl_Flüge[Region (Zuordnung)],Pat_ausl_ergeb[[#This Row],[Zielland]])</f>
        <v>0</v>
      </c>
      <c r="E123" s="49">
        <v>14000</v>
      </c>
      <c r="F123" s="49">
        <f>Pat_ausl_ergeb[[#This Row],[Anzahl Flüge]]*Pat_ausl_ergeb[[#This Row],[Annahme Entfernung One-Way '[km']]]*2</f>
        <v>0</v>
      </c>
      <c r="G123" s="50">
        <v>0.32537799150830105</v>
      </c>
      <c r="H123" s="51">
        <f>Pat_ausl_ergeb[[#This Row],[Gesamte Distanz 
'[Pkm / Jahr']]]*Pat_ausl_ergeb[[#This Row],[Emissionsfaktor 
'[kg CO2e / Pkm']]]</f>
        <v>0</v>
      </c>
      <c r="I123" s="192" t="s">
        <v>164</v>
      </c>
      <c r="J123" s="52" t="s">
        <v>179</v>
      </c>
    </row>
    <row r="124" spans="2:10" x14ac:dyDescent="0.2">
      <c r="B124" s="47" t="s">
        <v>173</v>
      </c>
      <c r="C124" s="47" t="s">
        <v>36</v>
      </c>
      <c r="D124" s="49">
        <f>SUMIFS(Pat_ausl_Flüge[Anzahl Patienten
(Regelkontakte)],Pat_ausl_Flüge[Region (Zuordnung)],Pat_ausl_ergeb[[#This Row],[Zielland]])</f>
        <v>0</v>
      </c>
      <c r="E124" s="49">
        <v>10000</v>
      </c>
      <c r="F124" s="49">
        <f>Pat_ausl_ergeb[[#This Row],[Anzahl Flüge]]*Pat_ausl_ergeb[[#This Row],[Annahme Entfernung One-Way '[km']]]*2</f>
        <v>0</v>
      </c>
      <c r="G124" s="50">
        <v>0.32537799150830105</v>
      </c>
      <c r="H124" s="51">
        <f>Pat_ausl_ergeb[[#This Row],[Gesamte Distanz 
'[Pkm / Jahr']]]*Pat_ausl_ergeb[[#This Row],[Emissionsfaktor 
'[kg CO2e / Pkm']]]</f>
        <v>0</v>
      </c>
      <c r="I124" s="192" t="s">
        <v>167</v>
      </c>
      <c r="J124" s="52" t="s">
        <v>179</v>
      </c>
    </row>
    <row r="125" spans="2:10" x14ac:dyDescent="0.2">
      <c r="B125" s="47" t="s">
        <v>173</v>
      </c>
      <c r="C125" s="47" t="s">
        <v>38</v>
      </c>
      <c r="D125" s="49">
        <f>SUMIFS(Pat_ausl_Flüge[Anzahl Patienten
(Regelkontakte)],Pat_ausl_Flüge[Region (Zuordnung)],Pat_ausl_ergeb[[#This Row],[Zielland]])</f>
        <v>0</v>
      </c>
      <c r="E125" s="49">
        <v>17000</v>
      </c>
      <c r="F125" s="49">
        <f>Pat_ausl_ergeb[[#This Row],[Anzahl Flüge]]*Pat_ausl_ergeb[[#This Row],[Annahme Entfernung One-Way '[km']]]*2</f>
        <v>0</v>
      </c>
      <c r="G125" s="50">
        <v>0.32537799150830105</v>
      </c>
      <c r="H125" s="51">
        <f>Pat_ausl_ergeb[[#This Row],[Gesamte Distanz 
'[Pkm / Jahr']]]*Pat_ausl_ergeb[[#This Row],[Emissionsfaktor 
'[kg CO2e / Pkm']]]</f>
        <v>0</v>
      </c>
      <c r="I125" s="192" t="s">
        <v>169</v>
      </c>
      <c r="J125" s="52" t="s">
        <v>179</v>
      </c>
    </row>
    <row r="126" spans="2:10" x14ac:dyDescent="0.2">
      <c r="B126" s="193" t="s">
        <v>158</v>
      </c>
      <c r="C126" s="193"/>
      <c r="D126" s="196">
        <f>SUBTOTAL(109,Pat_ausl_ergeb[Anzahl Flüge])</f>
        <v>0</v>
      </c>
      <c r="E126" s="194"/>
      <c r="F126" s="194"/>
      <c r="G126" s="2"/>
      <c r="H126" s="195">
        <f>SUBTOTAL(109,Pat_ausl_ergeb[Ergebnis 
'[kg CO2e / Jahr']])</f>
        <v>0</v>
      </c>
      <c r="I126" s="66"/>
      <c r="J126" s="52">
        <f>SUBTOTAL(103,Pat_ausl_ergeb[Quelle])</f>
        <v>5</v>
      </c>
    </row>
    <row r="127" spans="2:10" x14ac:dyDescent="0.2">
      <c r="D127" s="59"/>
      <c r="E127" s="59"/>
      <c r="F127" s="59"/>
      <c r="G127" s="59"/>
    </row>
    <row r="128" spans="2:10" ht="5.0999999999999996" customHeight="1" x14ac:dyDescent="0.2">
      <c r="D128" s="59"/>
      <c r="E128" s="59"/>
      <c r="F128" s="59"/>
      <c r="G128" s="59"/>
    </row>
    <row r="129" spans="1:14" x14ac:dyDescent="0.2">
      <c r="A129" s="67" t="s">
        <v>279</v>
      </c>
      <c r="B129" s="68"/>
      <c r="C129" s="68"/>
      <c r="D129" s="69"/>
      <c r="E129" s="69"/>
      <c r="F129" s="69"/>
      <c r="G129" s="69"/>
      <c r="H129" s="69"/>
      <c r="I129" s="69"/>
      <c r="J129" s="69"/>
      <c r="K129" s="69"/>
      <c r="L129" s="68"/>
      <c r="M129" s="70"/>
    </row>
    <row r="130" spans="1:14" x14ac:dyDescent="0.2">
      <c r="A130" s="52"/>
      <c r="D130" s="59"/>
      <c r="E130" s="59"/>
      <c r="F130" s="59"/>
      <c r="G130" s="59"/>
    </row>
    <row r="131" spans="1:14" ht="27" x14ac:dyDescent="0.25">
      <c r="A131" s="52"/>
      <c r="B131" s="43" t="s">
        <v>246</v>
      </c>
      <c r="C131" s="43" t="s">
        <v>192</v>
      </c>
      <c r="D131" s="91" t="s">
        <v>151</v>
      </c>
      <c r="E131" s="96" t="s">
        <v>195</v>
      </c>
      <c r="F131" s="96" t="s">
        <v>196</v>
      </c>
      <c r="G131" s="96" t="s">
        <v>252</v>
      </c>
      <c r="H131" s="257" t="s">
        <v>276</v>
      </c>
      <c r="I131" s="52"/>
      <c r="J131" s="52"/>
      <c r="K131" s="52"/>
    </row>
    <row r="132" spans="1:14" ht="12.75" customHeight="1" x14ac:dyDescent="0.2">
      <c r="B132" s="47" t="s">
        <v>247</v>
      </c>
      <c r="C132" s="47" t="s">
        <v>248</v>
      </c>
      <c r="D132" s="2"/>
      <c r="E132" s="2"/>
      <c r="F132" s="2"/>
      <c r="G132" s="2"/>
      <c r="H132" s="51">
        <f>pat_notf_heli[[#Totals],[Ergebnis 
'[kg CO2e / Jahr']]]</f>
        <v>0</v>
      </c>
    </row>
    <row r="133" spans="1:14" ht="12.75" customHeight="1" x14ac:dyDescent="0.2">
      <c r="B133" s="47" t="s">
        <v>249</v>
      </c>
      <c r="C133" s="47" t="s">
        <v>250</v>
      </c>
      <c r="D133" s="2"/>
      <c r="E133" s="2"/>
      <c r="F133" s="2"/>
      <c r="G133" s="2"/>
      <c r="H133" s="51">
        <f ca="1">pat_inl_ergeb[[#Totals],[Ergebnis 
'[kg CO2e / Jahr']]]</f>
        <v>0</v>
      </c>
    </row>
    <row r="134" spans="1:14" ht="12.75" customHeight="1" x14ac:dyDescent="0.25">
      <c r="B134" s="53" t="s">
        <v>249</v>
      </c>
      <c r="C134" s="53" t="s">
        <v>251</v>
      </c>
      <c r="D134" s="2"/>
      <c r="E134" s="2"/>
      <c r="F134" s="2"/>
      <c r="G134" s="2"/>
      <c r="H134" s="56">
        <f>Pat_ausl_ergeb[[#Totals],[Ergebnis 
'[kg CO2e / Jahr']]]</f>
        <v>0</v>
      </c>
      <c r="J134"/>
      <c r="K134"/>
      <c r="L134"/>
      <c r="M134"/>
      <c r="N134"/>
    </row>
    <row r="135" spans="1:14" ht="12.75" customHeight="1" x14ac:dyDescent="0.25">
      <c r="B135" s="53" t="s">
        <v>278</v>
      </c>
      <c r="C135" s="53"/>
      <c r="D135" s="2"/>
      <c r="E135" s="2"/>
      <c r="F135" s="2"/>
      <c r="G135" s="2"/>
      <c r="H135" s="56">
        <f ca="1">SUBTOTAL(109,pat_mobi_gesamt[Ergebnis 
'[kg CO2e / Jahr']])</f>
        <v>0</v>
      </c>
      <c r="I135" s="322" t="s">
        <v>281</v>
      </c>
      <c r="J135" s="345"/>
      <c r="K135" s="345"/>
      <c r="L135"/>
      <c r="M135"/>
      <c r="N135"/>
    </row>
  </sheetData>
  <sheetProtection algorithmName="SHA-512" hashValue="Ln/VvNggFkVti5OYX/3uLZRsHUqpKFnv0M6l0eSQ2g1Q4tAANtOU93XpDX5ZsPImWYufBPGiGseLkIo7RvDg6Q==" saltValue="dMKdeTJa8HtgkUHEV7CloA==" spinCount="100000" sheet="1" objects="1" scenarios="1"/>
  <protectedRanges>
    <protectedRange algorithmName="SHA-512" hashValue="HW+jLE+154B9KqWkeGAjoQGcbCLd25RHAZXlaIQX5MUmwwMbjrtqF8YUmDXNPVBooznIP9rmMBkXTeOfluMf7g==" saltValue="K3MEbatdHAsrcGXHTjqdlg==" spinCount="100000" sqref="D64:D117" name="Flugziele_Pat"/>
    <protectedRange sqref="D43:D52 D21 D40" name="Notfallkontakte"/>
    <protectedRange sqref="E21" name="Notfallkontakte_Anpassung"/>
  </protectedRanges>
  <mergeCells count="7">
    <mergeCell ref="A15:M15"/>
    <mergeCell ref="I135:K135"/>
    <mergeCell ref="B2:L2"/>
    <mergeCell ref="B3:L3"/>
    <mergeCell ref="B4:L6"/>
    <mergeCell ref="D8:D12"/>
    <mergeCell ref="H8:H12"/>
  </mergeCells>
  <dataValidations count="3">
    <dataValidation allowBlank="1" showInputMessage="1" sqref="H120 H20 H56 H131"/>
    <dataValidation type="list" allowBlank="1" showInputMessage="1" showErrorMessage="1" sqref="B43:C52 B57:C57 F57:G57">
      <formula1>PLZ_Gebiet_klug</formula1>
    </dataValidation>
    <dataValidation type="list" allowBlank="1" showInputMessage="1" showErrorMessage="1" sqref="D40">
      <formula1>$B$43:$B$52</formula1>
    </dataValidation>
  </dataValidations>
  <pageMargins left="0.7" right="0.7" top="0.78740157499999996" bottom="0.78740157499999996" header="0.3" footer="0.3"/>
  <pageSetup paperSize="9" orientation="portrait" r:id="rId1"/>
  <ignoredErrors>
    <ignoredError sqref="F44:F52" calculatedColumn="1"/>
  </ignoredError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Anästhesiegase</vt:lpstr>
      <vt:lpstr>Geschäftsreisen</vt:lpstr>
      <vt:lpstr>Mobilität Mitarbeitende</vt:lpstr>
      <vt:lpstr>Mobilität Patientinnen</vt:lpstr>
      <vt:lpstr>'Mobilität Patientinnen'!Result_Scope3_P_Mobilität_Notfall_Helikoper</vt:lpstr>
      <vt:lpstr>Result_Scope3_P_Mobilität_Notfall_Helikoper</vt:lpstr>
      <vt:lpstr>'Mobilität Patientinnen'!Result_Scope3_Patient_Regelkontakte_innerhalb_DE</vt:lpstr>
      <vt:lpstr>Result_Scope3_Patient_Regelkontakte_innerhalb_DE</vt:lpstr>
    </vt:vector>
  </TitlesOfParts>
  <Company>Universitätsklinikum Freiburg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Hilfsexcel KliMeG-Rechner zu Bilanzierung von Kliniken Version 1.1</dc:title>
  <dc:creator>leonard.terres@uniklinik-freiburg.de;bernd.franke@ifeu.de;claudia.quitmann@uni-heidelberg.de</dc:creator>
  <cp:lastModifiedBy>Leonard Terres</cp:lastModifiedBy>
  <dcterms:created xsi:type="dcterms:W3CDTF">2023-05-02T11:21:43Z</dcterms:created>
  <dcterms:modified xsi:type="dcterms:W3CDTF">2023-08-18T07:52:17Z</dcterms:modified>
</cp:coreProperties>
</file>