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claudia.quitmann\Seafile\KliOL\AP 4+5 - THG Rechner\KliMEG-Rechner\Version 2 - KliMeG Rechner\Hilfsexcel Vorlagen 2019-2022\"/>
    </mc:Choice>
  </mc:AlternateContent>
  <xr:revisionPtr revIDLastSave="0" documentId="13_ncr:1_{B91ECAA1-8AAD-4B0A-83CA-FD60904F87D1}" xr6:coauthVersionLast="36" xr6:coauthVersionMax="36" xr10:uidLastSave="{00000000-0000-0000-0000-000000000000}"/>
  <bookViews>
    <workbookView xWindow="0" yWindow="0" windowWidth="19200" windowHeight="6930" activeTab="3" xr2:uid="{00000000-000D-0000-FFFF-FFFF00000000}"/>
  </bookViews>
  <sheets>
    <sheet name="Anästhesiegase" sheetId="6" r:id="rId1"/>
    <sheet name="Geschäftsreisen 2021" sheetId="3" r:id="rId2"/>
    <sheet name="Mobilität Mitarbeitende 2021" sheetId="2" r:id="rId3"/>
    <sheet name="Mobilität Patientinnen 2021" sheetId="4" r:id="rId4"/>
  </sheets>
  <externalReferences>
    <externalReference r:id="rId5"/>
  </externalReferences>
  <definedNames>
    <definedName name="Anzahl_Mitarbeiterinnen">#REF!</definedName>
    <definedName name="Auswahl_PLZ_Gebiet">#REF!</definedName>
    <definedName name="Brutto_Nutzungsgrade_Biogas">#REF!</definedName>
    <definedName name="Brutto_Nutzungsgrade_Braunkohle">#REF!</definedName>
    <definedName name="Brutto_Nutzungsgrade_Erdgas">#REF!</definedName>
    <definedName name="Brutto_Nutzungsgrade_Flüssig_Biomasse">#REF!</definedName>
    <definedName name="Brutto_Nutzungsgrade_Holz">#REF!</definedName>
    <definedName name="Brutto_Nutzungsgrade_Öl">#REF!</definedName>
    <definedName name="Brutto_Nutzungsgrade_Steinkohle">#REF!</definedName>
    <definedName name="lol">[1]EF!$N$1:$N$10</definedName>
    <definedName name="Methan_IPCC_AR6">#REF!</definedName>
    <definedName name="N2O_IPCC_AR6">#REF!</definedName>
    <definedName name="Netto_BruttoStrom_Ratio_Biogas">#REF!</definedName>
    <definedName name="Netto_BruttoStrom_Ratio_Braunkohle">#REF!</definedName>
    <definedName name="Netto_BruttoStrom_Ratio_Erdgas">#REF!</definedName>
    <definedName name="Netto_BruttoStrom_Ratio_flüssig_Biomasse">#REF!</definedName>
    <definedName name="Netto_BruttoStrom_Ratio_Holz">#REF!</definedName>
    <definedName name="Netto_BruttoStrom_Ratio_Öl">#REF!</definedName>
    <definedName name="Netto_BruttoStrom_Ratio_Steinkohle">#REF!</definedName>
    <definedName name="PLZ_Gebiet">#REF!</definedName>
    <definedName name="PLZ_Gebiet_klug">#REF!</definedName>
    <definedName name="Result_Scope3_P_Mobilität_Notfall_Helikoper" localSheetId="3">'Mobilität Patientinnen 2021'!$G$552</definedName>
    <definedName name="Result_Scope3_P_Mobilität_Notfall_Helikoper">'Mobilität Mitarbeitende 2021'!$G$494</definedName>
    <definedName name="Result_Scope3_P_Mobilität_Notfall_K_RTW_PKW" localSheetId="3">#REF!</definedName>
    <definedName name="Result_Scope3_P_Mobilität_Notfall_K_RTW_PKW">#REF!</definedName>
    <definedName name="Result_Scope3_Patient_Regelkontakte_innerhalb_DE" localSheetId="3">'Mobilität Patientinnen 2021'!$G$598</definedName>
    <definedName name="Result_Scope3_Patient_Regelkontakte_innerhalb_DE">'Mobilität Mitarbeitende 2021'!$G$540</definedName>
    <definedName name="Result_Scope3_Patient_Regelkontakte_Non_DE" localSheetId="3">#REF!</definedName>
    <definedName name="Result_Scope3_Patient_Regelkontakte_Non_DE">#REF!</definedName>
    <definedName name="Result_Scope3_Patient_Verlegung" localSheetId="3">#REF!</definedName>
    <definedName name="Result_Scope3_Patient_Verlegung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4" l="1"/>
  <c r="G30" i="6" l="1"/>
  <c r="E22" i="6"/>
  <c r="G22" i="6" s="1"/>
  <c r="E21" i="6"/>
  <c r="G21" i="6" s="1"/>
  <c r="E20" i="6"/>
  <c r="G20" i="6" s="1"/>
  <c r="G43" i="6" l="1"/>
  <c r="F94" i="3" l="1"/>
  <c r="H94" i="3" s="1"/>
  <c r="F93" i="3" l="1"/>
  <c r="D96" i="3" l="1"/>
  <c r="D83" i="3"/>
  <c r="D84" i="3"/>
  <c r="D85" i="3"/>
  <c r="D86" i="3"/>
  <c r="F43" i="4"/>
  <c r="F21" i="4" l="1"/>
  <c r="D22" i="4" l="1"/>
  <c r="F49" i="4" l="1"/>
  <c r="G49" i="4" s="1"/>
  <c r="F51" i="4"/>
  <c r="G51" i="4" s="1"/>
  <c r="F48" i="4"/>
  <c r="G48" i="4" s="1"/>
  <c r="F47" i="4"/>
  <c r="G47" i="4" s="1"/>
  <c r="F46" i="4"/>
  <c r="G46" i="4" s="1"/>
  <c r="F44" i="4"/>
  <c r="G44" i="4" s="1"/>
  <c r="G43" i="4"/>
  <c r="F52" i="4"/>
  <c r="G52" i="4" s="1"/>
  <c r="F50" i="4"/>
  <c r="G50" i="4" s="1"/>
  <c r="F45" i="4" l="1"/>
  <c r="G45" i="4" s="1"/>
  <c r="D28" i="2"/>
  <c r="D122" i="4" l="1"/>
  <c r="F122" i="4" s="1"/>
  <c r="H122" i="4" s="1"/>
  <c r="D123" i="4"/>
  <c r="F123" i="4" s="1"/>
  <c r="H123" i="4" s="1"/>
  <c r="D124" i="4"/>
  <c r="F124" i="4" s="1"/>
  <c r="H124" i="4" s="1"/>
  <c r="D125" i="4"/>
  <c r="F125" i="4" s="1"/>
  <c r="H125" i="4" s="1"/>
  <c r="F121" i="4"/>
  <c r="H121" i="4" s="1"/>
  <c r="D53" i="4"/>
  <c r="E46" i="4" l="1"/>
  <c r="E47" i="4"/>
  <c r="H21" i="4"/>
  <c r="H22" i="4" s="1"/>
  <c r="H132" i="4" s="1"/>
  <c r="H126" i="4"/>
  <c r="H134" i="4" s="1"/>
  <c r="D126" i="4"/>
  <c r="E49" i="4"/>
  <c r="E48" i="4"/>
  <c r="E43" i="4"/>
  <c r="E45" i="4"/>
  <c r="E52" i="4"/>
  <c r="E44" i="4"/>
  <c r="E51" i="4"/>
  <c r="E50" i="4"/>
  <c r="G53" i="4"/>
  <c r="E28" i="2"/>
  <c r="E29" i="2" s="1"/>
  <c r="D46" i="2"/>
  <c r="G38" i="6"/>
  <c r="D82" i="3"/>
  <c r="D81" i="3"/>
  <c r="D111" i="3"/>
  <c r="H102" i="3"/>
  <c r="H103" i="3" s="1"/>
  <c r="H111" i="3" s="1"/>
  <c r="H185" i="3" s="1"/>
  <c r="D110" i="3"/>
  <c r="D87" i="3" l="1"/>
  <c r="D57" i="4"/>
  <c r="H57" i="4" s="1"/>
  <c r="H58" i="4" s="1"/>
  <c r="H133" i="4" s="1"/>
  <c r="H135" i="4" s="1"/>
  <c r="C55" i="2"/>
  <c r="C54" i="2"/>
  <c r="C53" i="2"/>
  <c r="C52" i="2"/>
  <c r="E53" i="4"/>
  <c r="F82" i="3"/>
  <c r="H82" i="3" s="1"/>
  <c r="F83" i="3"/>
  <c r="H83" i="3" s="1"/>
  <c r="F84" i="3"/>
  <c r="F85" i="3"/>
  <c r="H85" i="3" s="1"/>
  <c r="F86" i="3"/>
  <c r="H86" i="3" s="1"/>
  <c r="F81" i="3" l="1"/>
  <c r="H81" i="3" s="1"/>
  <c r="D109" i="3"/>
  <c r="H84" i="3"/>
  <c r="F87" i="3" l="1"/>
  <c r="H87" i="3"/>
  <c r="H109" i="3" s="1"/>
  <c r="H183" i="3" s="1"/>
  <c r="F95" i="3"/>
  <c r="H95" i="3" s="1"/>
  <c r="H93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21" i="3"/>
  <c r="H175" i="3" l="1"/>
  <c r="H186" i="3" s="1"/>
  <c r="F96" i="3"/>
  <c r="H96" i="3" l="1"/>
  <c r="H110" i="3" s="1"/>
  <c r="G44" i="6"/>
  <c r="G42" i="6"/>
  <c r="G41" i="6"/>
  <c r="G40" i="6"/>
  <c r="G39" i="6"/>
  <c r="G37" i="6"/>
  <c r="G36" i="6"/>
  <c r="G35" i="6"/>
  <c r="G34" i="6"/>
  <c r="H112" i="3" l="1"/>
  <c r="H184" i="3"/>
  <c r="H187" i="3" s="1"/>
  <c r="C57" i="2" l="1"/>
  <c r="D57" i="2" s="1"/>
  <c r="C58" i="2"/>
  <c r="H58" i="2" s="1"/>
  <c r="C56" i="2"/>
  <c r="H53" i="2"/>
  <c r="H57" i="2" l="1"/>
  <c r="G57" i="2"/>
  <c r="F57" i="2"/>
  <c r="E57" i="2"/>
  <c r="D58" i="2"/>
  <c r="E58" i="2"/>
  <c r="F58" i="2"/>
  <c r="G58" i="2"/>
  <c r="D53" i="2"/>
  <c r="G53" i="2"/>
  <c r="F53" i="2"/>
  <c r="E53" i="2"/>
  <c r="H54" i="2"/>
  <c r="E54" i="2"/>
  <c r="G54" i="2"/>
  <c r="F54" i="2"/>
  <c r="D54" i="2"/>
  <c r="H56" i="2"/>
  <c r="F56" i="2"/>
  <c r="D56" i="2"/>
  <c r="G56" i="2"/>
  <c r="E56" i="2"/>
  <c r="E52" i="2"/>
  <c r="D52" i="2"/>
  <c r="C59" i="2"/>
  <c r="C60" i="2" s="1"/>
  <c r="H52" i="2"/>
  <c r="G52" i="2"/>
  <c r="F52" i="2"/>
  <c r="H55" i="2"/>
  <c r="D55" i="2"/>
  <c r="G55" i="2"/>
  <c r="F55" i="2"/>
  <c r="E55" i="2"/>
  <c r="D59" i="2" l="1"/>
  <c r="D60" i="2" s="1"/>
  <c r="F59" i="2"/>
  <c r="D69" i="2" s="1"/>
  <c r="E59" i="2"/>
  <c r="E60" i="2" s="1"/>
  <c r="G59" i="2"/>
  <c r="D71" i="2" s="1"/>
  <c r="G60" i="2" l="1"/>
  <c r="F71" i="2"/>
  <c r="F60" i="2"/>
  <c r="F69" i="2"/>
  <c r="H59" i="2"/>
  <c r="D70" i="2" s="1"/>
  <c r="H60" i="2" l="1"/>
  <c r="F70" i="2"/>
  <c r="F72" i="2" s="1"/>
  <c r="D72" i="2"/>
  <c r="E96" i="3"/>
  <c r="B58" i="2" l="1"/>
  <c r="B57" i="2"/>
  <c r="B56" i="2"/>
  <c r="B55" i="2"/>
  <c r="B54" i="2"/>
  <c r="B53" i="2"/>
  <c r="B52" i="2"/>
  <c r="G32" i="6" l="1"/>
  <c r="G31" i="6"/>
  <c r="G45" i="6" l="1"/>
</calcChain>
</file>

<file path=xl/sharedStrings.xml><?xml version="1.0" encoding="utf-8"?>
<sst xmlns="http://schemas.openxmlformats.org/spreadsheetml/2006/main" count="702" uniqueCount="308">
  <si>
    <t>Summe</t>
  </si>
  <si>
    <t>Schritt 1 bis Schritt 3 (siehe unten) zeigen eine Möglichkeit zur Berechnung der GHG-Emissionen aus der Mitarbeitendenmobilität.</t>
  </si>
  <si>
    <t>Sie können aber auch direkt mit Schritt 3 anfangen, indem Sie die Entfernung nach verschiedenen Verkehrsmitteln in die gelb markierten Bereiche der Tabelle zu Schritt 3 eingeben.</t>
  </si>
  <si>
    <t>Entfernung Wohnort</t>
  </si>
  <si>
    <t>Mitarbeitendenmobilität</t>
  </si>
  <si>
    <t xml:space="preserve">Angenomme Entfernung 
(One-way) </t>
  </si>
  <si>
    <t>Zufußgehen %</t>
  </si>
  <si>
    <t>Fahrrad %</t>
  </si>
  <si>
    <t>E-Bike %</t>
  </si>
  <si>
    <t>ÖPNV %</t>
  </si>
  <si>
    <t>Weniger als 5 km</t>
  </si>
  <si>
    <t>5 - 9 Kilometer</t>
  </si>
  <si>
    <t>10 - 19 Kilometer</t>
  </si>
  <si>
    <t>20 - 29 Kilometer</t>
  </si>
  <si>
    <t>30 - 39 Kilometer</t>
  </si>
  <si>
    <t>40 - 49 Kilometer</t>
  </si>
  <si>
    <t>Mehr als 50 Kilometer</t>
  </si>
  <si>
    <t>Arbeitstage im Jahr</t>
  </si>
  <si>
    <t>Gewichtete Arbeitstage im Jahr</t>
  </si>
  <si>
    <t>Zufußgehen (km)</t>
  </si>
  <si>
    <t>Fahrad (km)</t>
  </si>
  <si>
    <t>E-Bike (km)</t>
  </si>
  <si>
    <t>ÖPNV (km)</t>
  </si>
  <si>
    <t>Anteil</t>
  </si>
  <si>
    <t>Hinweis:   </t>
  </si>
  <si>
    <t>Falls Sie die Daten anhand von Schritt 1 und Schritt 2 ermittelt haben, wurden die Daten für E-Bikes, Pkw, und ÖPNV automatisch in folgende Tabelle übernommen.</t>
  </si>
  <si>
    <t>E-Bike</t>
  </si>
  <si>
    <t>Pkw</t>
  </si>
  <si>
    <t>ÖPNV, allgemein</t>
  </si>
  <si>
    <t>Summe (Mitarbeitendenmobilität)</t>
  </si>
  <si>
    <t>Helikopter</t>
  </si>
  <si>
    <t>PKW</t>
  </si>
  <si>
    <t>Verkehrsmittel</t>
  </si>
  <si>
    <t>Quelle</t>
  </si>
  <si>
    <t>Afrika</t>
  </si>
  <si>
    <t>Amerika</t>
  </si>
  <si>
    <t>Asien</t>
  </si>
  <si>
    <t>Europa</t>
  </si>
  <si>
    <t>Ozeanien</t>
  </si>
  <si>
    <t>Postleitzahlbereich</t>
  </si>
  <si>
    <t>Gebiet 0</t>
  </si>
  <si>
    <t>Gebiet 1</t>
  </si>
  <si>
    <t>Gebiet 2</t>
  </si>
  <si>
    <t>Gebiet 3</t>
  </si>
  <si>
    <t>Gebiet 4</t>
  </si>
  <si>
    <t>Gebiet 5</t>
  </si>
  <si>
    <t>Gebiet 6</t>
  </si>
  <si>
    <t>Gebiet 7</t>
  </si>
  <si>
    <t>Gebiet 8</t>
  </si>
  <si>
    <t>Gebiet 9</t>
  </si>
  <si>
    <t>Flugreisen</t>
  </si>
  <si>
    <t>Hin- &amp; Rückfahrt (km / Jahr)</t>
  </si>
  <si>
    <t>Summe (Flugreisen)</t>
  </si>
  <si>
    <t>Landreisen</t>
  </si>
  <si>
    <t>Bahnreisen, Fernverkehr</t>
  </si>
  <si>
    <t>Argentinien</t>
  </si>
  <si>
    <t>Armenien</t>
  </si>
  <si>
    <t>Australien</t>
  </si>
  <si>
    <t>Bangladesch</t>
  </si>
  <si>
    <t>Belgien</t>
  </si>
  <si>
    <t>Brasilien</t>
  </si>
  <si>
    <t>China</t>
  </si>
  <si>
    <t>Costa Rica</t>
  </si>
  <si>
    <t>Dänemark</t>
  </si>
  <si>
    <t>Deutschland</t>
  </si>
  <si>
    <t>Finnland</t>
  </si>
  <si>
    <t>Frankreich</t>
  </si>
  <si>
    <t>Griechenland</t>
  </si>
  <si>
    <t>Indien</t>
  </si>
  <si>
    <t>Irland</t>
  </si>
  <si>
    <t>Israel</t>
  </si>
  <si>
    <t>Italien</t>
  </si>
  <si>
    <t>Japan</t>
  </si>
  <si>
    <t>Kanada</t>
  </si>
  <si>
    <t>Kirgisistan</t>
  </si>
  <si>
    <t>Kolumbien</t>
  </si>
  <si>
    <t>Lettland</t>
  </si>
  <si>
    <t>Luxemburg</t>
  </si>
  <si>
    <t>Malawi</t>
  </si>
  <si>
    <t>Malaysia</t>
  </si>
  <si>
    <t>Myanmar</t>
  </si>
  <si>
    <t>Namibia</t>
  </si>
  <si>
    <t>Neuseeland</t>
  </si>
  <si>
    <t>Niederlande</t>
  </si>
  <si>
    <t>Norwegen</t>
  </si>
  <si>
    <t>Österreich</t>
  </si>
  <si>
    <t>Peru</t>
  </si>
  <si>
    <t>Polen</t>
  </si>
  <si>
    <t>Portugal</t>
  </si>
  <si>
    <t>Republik Korea</t>
  </si>
  <si>
    <t>Rumänien</t>
  </si>
  <si>
    <t>Russische Föderation</t>
  </si>
  <si>
    <t>Schweden</t>
  </si>
  <si>
    <t>Schweiz</t>
  </si>
  <si>
    <t>Serbien</t>
  </si>
  <si>
    <t>Singapur</t>
  </si>
  <si>
    <t>Slowakei</t>
  </si>
  <si>
    <t>Slowenien</t>
  </si>
  <si>
    <t>Spanien</t>
  </si>
  <si>
    <t>Südafrika</t>
  </si>
  <si>
    <t>Taiwan</t>
  </si>
  <si>
    <t>Thailand</t>
  </si>
  <si>
    <t>Tschechien</t>
  </si>
  <si>
    <t>Türkei</t>
  </si>
  <si>
    <t>Ungarn</t>
  </si>
  <si>
    <t>Vereinigte Arabische Emirate</t>
  </si>
  <si>
    <t>USA</t>
  </si>
  <si>
    <t>Vereinigtes Königreich</t>
  </si>
  <si>
    <t>Pkw (außerhalb des eigenen Fuhrparks)</t>
  </si>
  <si>
    <t>Anzahl der Übernachtungen</t>
  </si>
  <si>
    <t xml:space="preserve">Es wird eine beschränkte Auswahl von Ländern dargestellt. </t>
  </si>
  <si>
    <t>Aufteilung in (%) der Mitarbeiter*innen</t>
  </si>
  <si>
    <t>Pkw %</t>
  </si>
  <si>
    <t>Pkw (km)</t>
  </si>
  <si>
    <t>Übernachtungen</t>
  </si>
  <si>
    <t xml:space="preserve">Anzahl der Mitarbeitenden: </t>
  </si>
  <si>
    <t>Geleistete Arbeitstage pro Jahr</t>
  </si>
  <si>
    <t>PLZ-Bereich</t>
  </si>
  <si>
    <t>Anteil der Mitarbeiter*innen</t>
  </si>
  <si>
    <t>Hier Daten eingeben:</t>
  </si>
  <si>
    <t>Ergebnisdarstellung</t>
  </si>
  <si>
    <t>Desfluran</t>
  </si>
  <si>
    <t>↓</t>
  </si>
  <si>
    <t>Isofluran</t>
  </si>
  <si>
    <t>Sevofluran</t>
  </si>
  <si>
    <t>Gebindeinformationen</t>
  </si>
  <si>
    <t>Volumen</t>
  </si>
  <si>
    <t>Produktbezeichnung</t>
  </si>
  <si>
    <t>Verbrauch am Klinikum</t>
  </si>
  <si>
    <t>Anzahl (bitte eingeben)</t>
  </si>
  <si>
    <t>Lachgas</t>
  </si>
  <si>
    <r>
      <t xml:space="preserve">Volumen </t>
    </r>
    <r>
      <rPr>
        <b/>
        <sz val="10"/>
        <color theme="0"/>
        <rFont val="Arial"/>
        <family val="2"/>
      </rPr>
      <t>(l)</t>
    </r>
  </si>
  <si>
    <t>Summe:</t>
  </si>
  <si>
    <t xml:space="preserve"> Lachgas (N2O, Distickstoffmonoxid)</t>
  </si>
  <si>
    <t>=&gt; Mengen Flurane (kg) separat in Ecocockpit eingeben</t>
  </si>
  <si>
    <t>=&gt; Summe (kg) in Ecocockpit eingeben</t>
  </si>
  <si>
    <t>Alternativ können Sie die Daten auch anhand Ihrer eigenen Ermittlungsmethode direkt in die hellgrün markierten Bereiche eintragen.</t>
  </si>
  <si>
    <t>Posten</t>
  </si>
  <si>
    <t>-</t>
  </si>
  <si>
    <t>km</t>
  </si>
  <si>
    <t>Verbrauchsberechnung</t>
  </si>
  <si>
    <t>Flaschen (Anzahl)</t>
  </si>
  <si>
    <t>Dichte [g/ml], Vollmer et al.</t>
  </si>
  <si>
    <t>Ergebnis</t>
  </si>
  <si>
    <t>Ergebnis:</t>
  </si>
  <si>
    <t>Anzahl Flüge</t>
  </si>
  <si>
    <t>Annahme Entfernung 
(km / Jahr)</t>
  </si>
  <si>
    <r>
      <t xml:space="preserve">Das Register </t>
    </r>
    <r>
      <rPr>
        <b/>
        <sz val="10"/>
        <color theme="1"/>
        <rFont val="Arial"/>
        <family val="2"/>
      </rPr>
      <t>Geschäftsreisen</t>
    </r>
    <r>
      <rPr>
        <sz val="10"/>
        <color theme="1"/>
        <rFont val="Arial"/>
        <family val="2"/>
      </rPr>
      <t xml:space="preserve"> ist folgendermaßen zu verwenden:</t>
    </r>
  </si>
  <si>
    <t>Distanz FRA --&gt; USA ca. 8.000 km</t>
  </si>
  <si>
    <t>Distanz FRA --&gt; Südafrika ca. 14.000 km</t>
  </si>
  <si>
    <t>Distanz FRA --&gt; Irland ca. 1.500 km</t>
  </si>
  <si>
    <t>Distanz München --&gt; Hamburg ca. 800 km</t>
  </si>
  <si>
    <t>Distanz FRA --&gt; China ca. 10.000 km</t>
  </si>
  <si>
    <t>Annahmen zu Entfernungen</t>
  </si>
  <si>
    <t>Distanz FRA --&gt; Sydney ca. 17.000 km</t>
  </si>
  <si>
    <t>Montenegro</t>
  </si>
  <si>
    <t>Vereinigte Staaten</t>
  </si>
  <si>
    <t>Land</t>
  </si>
  <si>
    <t>Internationale Flüge</t>
  </si>
  <si>
    <t>Nationale Flüge</t>
  </si>
  <si>
    <t>Zielland</t>
  </si>
  <si>
    <t>Anzahl</t>
  </si>
  <si>
    <t>Kroatien</t>
  </si>
  <si>
    <t>Region (Zuordnung)</t>
  </si>
  <si>
    <t>CAFOGES</t>
  </si>
  <si>
    <t>Anzahl Reisen</t>
  </si>
  <si>
    <t>Typ</t>
  </si>
  <si>
    <t>Fernverkehr</t>
  </si>
  <si>
    <t>Privat-PWK</t>
  </si>
  <si>
    <t>Gefahrene Kilometer</t>
  </si>
  <si>
    <t>Summe (Privat-PWK)</t>
  </si>
  <si>
    <t>Summe (Bahnreisen)</t>
  </si>
  <si>
    <t>Bahnreisen</t>
  </si>
  <si>
    <t>Einheit</t>
  </si>
  <si>
    <t>Flüge</t>
  </si>
  <si>
    <t>Beschreibung</t>
  </si>
  <si>
    <t>(Sonstige)</t>
  </si>
  <si>
    <t>Bei Bedarf Summe der Flüge eingeben</t>
  </si>
  <si>
    <t>--</t>
  </si>
  <si>
    <t>---</t>
  </si>
  <si>
    <t>Quelle: CAFOGES</t>
  </si>
  <si>
    <t>Hinweis zur Eingabe in ecocockpit</t>
  </si>
  <si>
    <r>
      <t xml:space="preserve">Das Register </t>
    </r>
    <r>
      <rPr>
        <b/>
        <sz val="10"/>
        <color theme="1"/>
        <rFont val="Arial"/>
        <family val="2"/>
      </rPr>
      <t>Mobilität Mitarbeitende</t>
    </r>
    <r>
      <rPr>
        <sz val="10"/>
        <color theme="1"/>
        <rFont val="Arial"/>
        <family val="2"/>
      </rPr>
      <t xml:space="preserve"> ist folgendermaßen zu verwenden:</t>
    </r>
  </si>
  <si>
    <t>Arbeitstage/Woche</t>
  </si>
  <si>
    <t>&lt;5 Tage/Woche</t>
  </si>
  <si>
    <t>=5 Tage/Woche</t>
  </si>
  <si>
    <t>Vorlagenformat</t>
  </si>
  <si>
    <t>Beispiel: (ggf. bei Möglichkeit für Ihr Klinikum anpassen)</t>
  </si>
  <si>
    <r>
      <t xml:space="preserve">Hier eignet sich eine </t>
    </r>
    <r>
      <rPr>
        <b/>
        <sz val="10"/>
        <color theme="1"/>
        <rFont val="Arial"/>
        <family val="2"/>
      </rPr>
      <t>Berechnung anhand der PLZ</t>
    </r>
    <r>
      <rPr>
        <sz val="10"/>
        <color theme="1"/>
        <rFont val="Arial"/>
        <family val="2"/>
      </rPr>
      <t xml:space="preserve"> (in der Personalabteilungen hiterlegter Wohnort), mittels Mitarbeitendenbefragung oder alternativ Schätzung.</t>
    </r>
  </si>
  <si>
    <r>
      <t xml:space="preserve">Angegeben wird die </t>
    </r>
    <r>
      <rPr>
        <b/>
        <sz val="10"/>
        <color theme="1"/>
        <rFont val="Arial"/>
        <family val="2"/>
      </rPr>
      <t>durchschnittliche Entfernung zum Arbeitsplatz</t>
    </r>
    <r>
      <rPr>
        <sz val="10"/>
        <color theme="1"/>
        <rFont val="Arial"/>
        <family val="2"/>
      </rPr>
      <t xml:space="preserve"> innerhalb der Gruppe und die Aufteilung in die verschiedenen Verkehrsmittel.</t>
    </r>
  </si>
  <si>
    <t>Nutzung Verkehrsmittel</t>
  </si>
  <si>
    <t>Aufteilung nach Entfernung zum Arbeitsplatz</t>
  </si>
  <si>
    <t>Mobilität Patient*innen</t>
  </si>
  <si>
    <r>
      <t xml:space="preserve">Das Register </t>
    </r>
    <r>
      <rPr>
        <b/>
        <sz val="10"/>
        <color theme="1"/>
        <rFont val="Arial"/>
        <family val="2"/>
      </rPr>
      <t>Mobilität Patient*innen</t>
    </r>
    <r>
      <rPr>
        <sz val="10"/>
        <color theme="1"/>
        <rFont val="Arial"/>
        <family val="2"/>
      </rPr>
      <t xml:space="preserve"> ist folgendermaßen zu verwenden:</t>
    </r>
  </si>
  <si>
    <t>=&gt; hier sollten 100% stehen!</t>
  </si>
  <si>
    <t>Anzahl (Notfallpatienten)</t>
  </si>
  <si>
    <t>Modellierung auf Basis CAFOGES</t>
  </si>
  <si>
    <t>Flugzeugtyp</t>
  </si>
  <si>
    <t>Erläuterung Flugzeugtyp</t>
  </si>
  <si>
    <t>Annahmen zu Entfernungen und Verbräuchen</t>
  </si>
  <si>
    <t>PLZ-Bereich: Zentrale Stadt</t>
  </si>
  <si>
    <t>Dresden</t>
  </si>
  <si>
    <t>Berlin</t>
  </si>
  <si>
    <t>Hamburg</t>
  </si>
  <si>
    <t>Göttingen</t>
  </si>
  <si>
    <t>Essen</t>
  </si>
  <si>
    <t>Bonn</t>
  </si>
  <si>
    <t>Mannheim</t>
  </si>
  <si>
    <t>Stuttgart</t>
  </si>
  <si>
    <t>München</t>
  </si>
  <si>
    <t>Nürnberg</t>
  </si>
  <si>
    <t>Auwahl PLZ Ihres Klinikums</t>
  </si>
  <si>
    <t>Herkundskontinent</t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</si>
  <si>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DESFLURAN</t>
    </r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</si>
  <si>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ISOFLURAN</t>
    </r>
  </si>
  <si>
    <r>
      <rPr>
        <b/>
        <sz val="10"/>
        <rFont val="Arial"/>
        <family val="2"/>
      </rPr>
      <t>ml/bottle</t>
    </r>
    <r>
      <rPr>
        <sz val="10"/>
        <color theme="1"/>
        <rFont val="Arial"/>
        <family val="2"/>
      </rPr>
      <t xml:space="preserve"> SEVOFLURAN</t>
    </r>
  </si>
  <si>
    <t>Verkehrmittel</t>
  </si>
  <si>
    <t>Auswahl PLZ-Gebiet Klinik</t>
  </si>
  <si>
    <r>
      <t xml:space="preserve">(z.B. </t>
    </r>
    <r>
      <rPr>
        <b/>
        <sz val="10"/>
        <color theme="1"/>
        <rFont val="Arial"/>
        <family val="2"/>
      </rPr>
      <t>Gebiet 7</t>
    </r>
    <r>
      <rPr>
        <sz val="10"/>
        <color theme="1"/>
        <rFont val="Arial"/>
        <family val="2"/>
      </rPr>
      <t xml:space="preserve"> für eine Klinik in 79110 Freiburg)</t>
    </r>
  </si>
  <si>
    <t>Anteil [%]</t>
  </si>
  <si>
    <t>Distanzen Regelkontakte [km]</t>
  </si>
  <si>
    <t>Angenommene Entfernung 
One-way [km]</t>
  </si>
  <si>
    <t>Annahme Entfernung One-Way [km]</t>
  </si>
  <si>
    <t>z.B. EC135, EC145 (DRF, REGA, …)</t>
  </si>
  <si>
    <t>Land (Wohnsitz)</t>
  </si>
  <si>
    <t>Zusatzinfo</t>
  </si>
  <si>
    <t>Passwort zum Aufheben des Schreibschutz: klug</t>
  </si>
  <si>
    <t>Bereich</t>
  </si>
  <si>
    <t>Luftgebunden</t>
  </si>
  <si>
    <t>Inland</t>
  </si>
  <si>
    <t>Ausland</t>
  </si>
  <si>
    <t>----</t>
  </si>
  <si>
    <r>
      <t xml:space="preserve">Passwort zum Aufheben des Schreibschutz: </t>
    </r>
    <r>
      <rPr>
        <sz val="10"/>
        <rFont val="Arial"/>
        <family val="2"/>
      </rPr>
      <t>klug</t>
    </r>
  </si>
  <si>
    <r>
      <t xml:space="preserve">Schritt 4: </t>
    </r>
    <r>
      <rPr>
        <sz val="10"/>
        <rFont val="Arial"/>
        <family val="2"/>
      </rPr>
      <t>Geben Sie in der entsprechenden Spalte die Anzahl der</t>
    </r>
    <r>
      <rPr>
        <b/>
        <sz val="10"/>
        <rFont val="Arial"/>
        <family val="2"/>
      </rPr>
      <t xml:space="preserve"> gefahrenen Kilometer mit Privat-PWK ein (außerhalb des Klinikfuhrparks)</t>
    </r>
  </si>
  <si>
    <r>
      <t xml:space="preserve">Schritt 3: </t>
    </r>
    <r>
      <rPr>
        <sz val="10"/>
        <rFont val="Arial"/>
        <family val="2"/>
      </rPr>
      <t>Geben Sie in der entsprechenden Spalte die</t>
    </r>
    <r>
      <rPr>
        <b/>
        <sz val="10"/>
        <rFont val="Arial"/>
        <family val="2"/>
      </rPr>
      <t xml:space="preserve"> Anzahl der Bahnreisen ein</t>
    </r>
  </si>
  <si>
    <r>
      <rPr>
        <b/>
        <sz val="10"/>
        <rFont val="Arial"/>
        <family val="2"/>
      </rPr>
      <t xml:space="preserve">Schritt 1: </t>
    </r>
    <r>
      <rPr>
        <sz val="10"/>
        <rFont val="Arial"/>
        <family val="2"/>
      </rPr>
      <t xml:space="preserve">Geben Sie in der entsprechenden Spalte die </t>
    </r>
    <r>
      <rPr>
        <b/>
        <sz val="10"/>
        <rFont val="Arial"/>
        <family val="2"/>
      </rPr>
      <t>Anzahl der Flüge in das Zielland</t>
    </r>
    <r>
      <rPr>
        <sz val="10"/>
        <rFont val="Arial"/>
        <family val="2"/>
      </rPr>
      <t xml:space="preserve"> ein</t>
    </r>
  </si>
  <si>
    <t>Privat-PKW</t>
  </si>
  <si>
    <t>Hotelübernachtungen</t>
  </si>
  <si>
    <t>Geschäftsreisen - Ergebnisse in ecocockpit übertragen</t>
  </si>
  <si>
    <r>
      <rPr>
        <b/>
        <sz val="10"/>
        <rFont val="Arial"/>
        <family val="2"/>
      </rPr>
      <t>Schritt 1: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luftgebundenen Patientenkontakten</t>
    </r>
    <r>
      <rPr>
        <sz val="10"/>
        <rFont val="Arial"/>
        <family val="2"/>
      </rPr>
      <t xml:space="preserve"> ein (via </t>
    </r>
    <r>
      <rPr>
        <b/>
        <sz val="10"/>
        <rFont val="Arial"/>
        <family val="2"/>
      </rPr>
      <t>Flugbuch</t>
    </r>
    <r>
      <rPr>
        <sz val="10"/>
        <rFont val="Arial"/>
        <family val="2"/>
      </rPr>
      <t xml:space="preserve"> Ihres Helikopterlandeplatz)</t>
    </r>
  </si>
  <si>
    <t>Fachinformation und Berechnungen des Herstellers</t>
  </si>
  <si>
    <t>Hinweis</t>
  </si>
  <si>
    <r>
      <t>Ergebnis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Jahr)</t>
    </r>
  </si>
  <si>
    <r>
      <t>Ergebnis 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Jahr]</t>
    </r>
  </si>
  <si>
    <r>
      <t>Emissionsfaktor 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Pkm]</t>
    </r>
  </si>
  <si>
    <t>THG-Emissionen durch Patient*innen-Mobilität (gesamt)</t>
  </si>
  <si>
    <r>
      <rPr>
        <b/>
        <sz val="10"/>
        <rFont val="Arial"/>
        <family val="2"/>
      </rPr>
      <t>Schritt 4:</t>
    </r>
    <r>
      <rPr>
        <sz val="10"/>
        <rFont val="Arial"/>
        <family val="2"/>
      </rPr>
      <t xml:space="preserve"> Übertragen Sie die Ergebnisse (THG</t>
    </r>
    <r>
      <rPr>
        <b/>
        <sz val="10"/>
        <rFont val="Arial"/>
        <family val="2"/>
      </rPr>
      <t>-Emissionen</t>
    </r>
    <r>
      <rPr>
        <sz val="10"/>
        <rFont val="Arial"/>
        <family val="2"/>
      </rPr>
      <t xml:space="preserve"> durch </t>
    </r>
    <r>
      <rPr>
        <b/>
        <sz val="10"/>
        <rFont val="Arial"/>
        <family val="2"/>
      </rPr>
      <t>Patient*innen-Mobilität</t>
    </r>
    <r>
      <rPr>
        <sz val="10"/>
        <rFont val="Arial"/>
        <family val="2"/>
      </rPr>
      <t>) in ecocockpit</t>
    </r>
  </si>
  <si>
    <t>Berechnungen der THG-Emissionen durch Flüge von Patient*innen mit Wohnsitz außerhalb Deutschlands</t>
  </si>
  <si>
    <t>Berechnung der THG-Emissionen zu Regelkontakten von Patient*innen mit Wohnstiz in Deutschland</t>
  </si>
  <si>
    <r>
      <t>Emissionsfaktor PKW
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km]</t>
    </r>
  </si>
  <si>
    <r>
      <t xml:space="preserve">Schritt 4: </t>
    </r>
    <r>
      <rPr>
        <sz val="10"/>
        <color theme="1"/>
        <rFont val="Arial"/>
        <family val="2"/>
      </rPr>
      <t>Berechnung der THG-Emissionen</t>
    </r>
  </si>
  <si>
    <t>Gesamte Entfernung 
(Hin-&amp; Zurück): Pkm / Jahr</t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</si>
  <si>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Pkm )</t>
    </r>
  </si>
  <si>
    <t>Pkm / Jahr</t>
  </si>
  <si>
    <r>
      <rPr>
        <b/>
        <sz val="10"/>
        <color theme="1"/>
        <rFont val="Arial"/>
        <family val="2"/>
      </rPr>
      <t>Schritt 3:</t>
    </r>
    <r>
      <rPr>
        <sz val="10"/>
        <color theme="1"/>
        <rFont val="Arial"/>
        <family val="2"/>
      </rPr>
      <t xml:space="preserve"> Automatische Berechnung der Personen-km (Pkm) pro Jahr nach Verkehrsmittel.</t>
    </r>
  </si>
  <si>
    <r>
      <rPr>
        <b/>
        <sz val="10"/>
        <rFont val="Arial"/>
        <family val="2"/>
      </rPr>
      <t>Schritt 6:</t>
    </r>
    <r>
      <rPr>
        <sz val="10"/>
        <rFont val="Arial"/>
        <family val="2"/>
      </rPr>
      <t xml:space="preserve"> Übertragen Sie die Ergebnisse (THG</t>
    </r>
    <r>
      <rPr>
        <b/>
        <sz val="10"/>
        <rFont val="Arial"/>
        <family val="2"/>
      </rPr>
      <t>-Emissionen</t>
    </r>
    <r>
      <rPr>
        <sz val="10"/>
        <rFont val="Arial"/>
        <family val="2"/>
      </rPr>
      <t xml:space="preserve"> durch </t>
    </r>
    <r>
      <rPr>
        <b/>
        <sz val="10"/>
        <rFont val="Arial"/>
        <family val="2"/>
      </rPr>
      <t>Geschäftsreisen</t>
    </r>
    <r>
      <rPr>
        <sz val="10"/>
        <rFont val="Arial"/>
        <family val="2"/>
      </rPr>
      <t>) in ecocockpit</t>
    </r>
  </si>
  <si>
    <t>THG-Emissionen durch Geschäftsreisen (gesamt)</t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</si>
  <si>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 / Nacht)</t>
    </r>
  </si>
  <si>
    <r>
      <t xml:space="preserve">Schritt 5: </t>
    </r>
    <r>
      <rPr>
        <sz val="10"/>
        <rFont val="Arial"/>
        <family val="2"/>
      </rPr>
      <t>Geben Sie in der entsprechenden Spalte in die Anzahl der</t>
    </r>
    <r>
      <rPr>
        <b/>
        <sz val="10"/>
        <rFont val="Arial"/>
        <family val="2"/>
      </rPr>
      <t xml:space="preserve"> Hotelübernachtungen im jeweiligen Land </t>
    </r>
    <r>
      <rPr>
        <sz val="10"/>
        <rFont val="Arial"/>
        <family val="2"/>
      </rPr>
      <t>ein</t>
    </r>
    <r>
      <rPr>
        <b/>
        <sz val="10"/>
        <rFont val="Arial"/>
        <family val="2"/>
      </rPr>
      <t xml:space="preserve"> </t>
    </r>
  </si>
  <si>
    <r>
      <t>Emissionsfaktor 
(kg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 xml:space="preserve">e / Pkm) </t>
    </r>
  </si>
  <si>
    <r>
      <t xml:space="preserve">Schritt 2: </t>
    </r>
    <r>
      <rPr>
        <sz val="10"/>
        <rFont val="Arial"/>
        <family val="2"/>
      </rPr>
      <t>Die Rechnung zu Distanzen und THG-Emissionen erfolgt automatisiert</t>
    </r>
  </si>
  <si>
    <r>
      <rPr>
        <b/>
        <sz val="10"/>
        <rFont val="Arial"/>
        <family val="2"/>
      </rPr>
      <t xml:space="preserve">Schritt 1: </t>
    </r>
    <r>
      <rPr>
        <sz val="10"/>
        <rFont val="Arial"/>
        <family val="2"/>
      </rPr>
      <t>Geben Sie die Anzahl der Mitarbeiter*innen und den Beschäftigungsgrad (5 Tage/Woche oder &lt;5 Tage/Woche) ein</t>
    </r>
  </si>
  <si>
    <r>
      <rPr>
        <b/>
        <sz val="10"/>
        <rFont val="Arial"/>
        <family val="2"/>
      </rPr>
      <t xml:space="preserve">Schritt 2: </t>
    </r>
    <r>
      <rPr>
        <sz val="10"/>
        <rFont val="Arial"/>
        <family val="2"/>
      </rPr>
      <t>Die Mitarbeiter*innen werden je nach Distanz zwischen Wohnort und Arbeitsplatz in 7 Cluster eingeteilt</t>
    </r>
  </si>
  <si>
    <t>Hin- &amp; Rückflug (km / Jahr)</t>
  </si>
  <si>
    <t>Annahme Mittelwert nationaler Bahnreisen</t>
  </si>
  <si>
    <t>Annahme Mittelwert regionaler Bahnreisen</t>
  </si>
  <si>
    <t>Gesamte Distanz 
[Pkm / Jahr]</t>
  </si>
  <si>
    <t>Gesamtdistanzen Regelkontakte [Pkm]</t>
  </si>
  <si>
    <t>UBA 2024</t>
  </si>
  <si>
    <t>Annahmen zu Entfernungen (CAFOGES)</t>
  </si>
  <si>
    <t>ifeu 2024</t>
  </si>
  <si>
    <t>Anzahl der Besuche (ambulant &amp; stationär durch Patient:innen)</t>
  </si>
  <si>
    <t>Bahnreisen, Regionalverkehr</t>
  </si>
  <si>
    <t>Bahnreisen, ÖPNV</t>
  </si>
  <si>
    <t>Regionalverkehr</t>
  </si>
  <si>
    <t>Annahme Mittelwert ÖPNV-Reisen</t>
  </si>
  <si>
    <t>ÖPNV</t>
  </si>
  <si>
    <t>Annahme Entfernung pro Einsatz (= pro Patient:in) [km]</t>
  </si>
  <si>
    <t>5 x 120</t>
  </si>
  <si>
    <t>CAFOGES-KliOL (April 2024)</t>
  </si>
  <si>
    <r>
      <rPr>
        <b/>
        <sz val="10"/>
        <color theme="1"/>
        <rFont val="Arial"/>
        <family val="2"/>
      </rPr>
      <t>50% N2O / 50% O2</t>
    </r>
    <r>
      <rPr>
        <sz val="10"/>
        <color theme="1"/>
        <rFont val="Arial"/>
        <family val="2"/>
      </rPr>
      <t xml:space="preserve"> (z.B. LIVOPAN® Linde)</t>
    </r>
  </si>
  <si>
    <t xml:space="preserve">100% N2O </t>
  </si>
  <si>
    <t xml:space="preserve">50% N2O / 50% O2 </t>
  </si>
  <si>
    <t>100% N2O</t>
  </si>
  <si>
    <t xml:space="preserve">Fachinformation, Vertriebsseiten, Herstellerseiten </t>
  </si>
  <si>
    <t>12 x 50</t>
  </si>
  <si>
    <r>
      <t xml:space="preserve">Masse N2O </t>
    </r>
    <r>
      <rPr>
        <b/>
        <sz val="10"/>
        <color theme="0"/>
        <rFont val="Arial"/>
        <family val="2"/>
      </rPr>
      <t>(kg)</t>
    </r>
    <r>
      <rPr>
        <sz val="10"/>
        <color theme="0"/>
        <rFont val="Arial"/>
        <family val="2"/>
      </rPr>
      <t xml:space="preserve"> 
per bottle</t>
    </r>
  </si>
  <si>
    <r>
      <t>Insgesamt (</t>
    </r>
    <r>
      <rPr>
        <b/>
        <sz val="10"/>
        <color theme="0"/>
        <rFont val="Arial"/>
        <family val="2"/>
      </rPr>
      <t>kg N2O</t>
    </r>
    <r>
      <rPr>
        <sz val="10"/>
        <color theme="0"/>
        <rFont val="Arial"/>
        <family val="2"/>
      </rPr>
      <t>)</t>
    </r>
  </si>
  <si>
    <r>
      <t xml:space="preserve">Insgesamt </t>
    </r>
    <r>
      <rPr>
        <b/>
        <sz val="10"/>
        <color theme="0"/>
        <rFont val="Arial"/>
        <family val="2"/>
      </rPr>
      <t>(kg)</t>
    </r>
  </si>
  <si>
    <t>Flurane (Volatile Anästhetika)</t>
  </si>
  <si>
    <r>
      <rPr>
        <b/>
        <sz val="10"/>
        <color theme="1"/>
        <rFont val="Arial"/>
        <family val="2"/>
      </rPr>
      <t>100% N2O</t>
    </r>
    <r>
      <rPr>
        <sz val="10"/>
        <color theme="1"/>
        <rFont val="Arial"/>
        <family val="2"/>
      </rPr>
      <t xml:space="preserve"> (z.B. NIONTIX® 100% (Linde), Distickstoffmonoxid Messer 100%, N2O Stickoxydul med. (SW-Steinfurt), N2O-medica (SW-Friedrichshafen))</t>
    </r>
  </si>
  <si>
    <r>
      <t xml:space="preserve">Das Register </t>
    </r>
    <r>
      <rPr>
        <b/>
        <sz val="10"/>
        <rFont val="Arial"/>
        <family val="2"/>
      </rPr>
      <t>Anästhesie-Gase</t>
    </r>
    <r>
      <rPr>
        <sz val="10"/>
        <rFont val="Arial"/>
        <family val="2"/>
      </rPr>
      <t xml:space="preserve"> ist folgendermaßen zu verwenden:
</t>
    </r>
    <r>
      <rPr>
        <b/>
        <sz val="10"/>
        <rFont val="Arial"/>
        <family val="2"/>
      </rPr>
      <t>Geben Sie Ihre Daten entsprechend der Gebindegrößen an Ihrem Klinikum ein. Das Endergebnis übertragen Sie anschließend wieder in EcoCockpit.</t>
    </r>
  </si>
  <si>
    <t>Genaue Quellen s. Handbuch</t>
  </si>
  <si>
    <r>
      <t>Masse</t>
    </r>
    <r>
      <rPr>
        <b/>
        <sz val="10"/>
        <color theme="0"/>
        <rFont val="Arial"/>
        <family val="2"/>
      </rPr>
      <t xml:space="preserve"> (kg)</t>
    </r>
    <r>
      <rPr>
        <sz val="10"/>
        <color theme="0"/>
        <rFont val="Arial"/>
        <family val="2"/>
      </rPr>
      <t xml:space="preserve"> pro Flasche</t>
    </r>
  </si>
  <si>
    <t>Summe (luftgebundene Notfallkontakte)</t>
  </si>
  <si>
    <r>
      <rPr>
        <b/>
        <sz val="10"/>
        <rFont val="Arial"/>
        <family val="2"/>
      </rPr>
      <t>Schritt 2: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den Besuchen von Patient*innen mit Wohnsitz in Deutschland</t>
    </r>
    <r>
      <rPr>
        <sz val="10"/>
        <rFont val="Arial"/>
        <family val="2"/>
      </rPr>
      <t xml:space="preserve"> ein</t>
    </r>
  </si>
  <si>
    <r>
      <rPr>
        <b/>
        <sz val="10"/>
        <rFont val="Arial"/>
        <family val="2"/>
      </rPr>
      <t>Schritt 3:</t>
    </r>
    <r>
      <rPr>
        <sz val="10"/>
        <rFont val="Arial"/>
        <family val="2"/>
      </rPr>
      <t xml:space="preserve"> Geben Sie hier die Daten zu </t>
    </r>
    <r>
      <rPr>
        <b/>
        <sz val="10"/>
        <rFont val="Arial"/>
        <family val="2"/>
      </rPr>
      <t>den Besuchen von Patient*innen mit Wohnsitz außerhalb Deutschlands</t>
    </r>
    <r>
      <rPr>
        <sz val="10"/>
        <rFont val="Arial"/>
        <family val="2"/>
      </rPr>
      <t xml:space="preserve"> ein</t>
    </r>
  </si>
  <si>
    <t>Luftgebundene Notfallkontakte</t>
  </si>
  <si>
    <t>Besuche Patient*innen</t>
  </si>
  <si>
    <r>
      <t xml:space="preserve">In den hellgrün hinterlegten Felder sind Standardwerte zum Mobilitätsverhalten der Mitarbeitenden je nach Entfernung zum Klinikum eingespeichert (basierend auf interner Mobilitätsstudie am Universitätsklinikum Freiburg, 2022).
Wenn Sie </t>
    </r>
    <r>
      <rPr>
        <b/>
        <sz val="10"/>
        <rFont val="Arial"/>
        <family val="2"/>
      </rPr>
      <t>individuelle Daten</t>
    </r>
    <r>
      <rPr>
        <sz val="10"/>
        <rFont val="Arial"/>
        <family val="2"/>
      </rPr>
      <t xml:space="preserve"> haben, z.B. aus einer Mobilitätsstudie, so passen Sie diese bitte in den entsprechenden Zellen </t>
    </r>
    <r>
      <rPr>
        <b/>
        <sz val="10"/>
        <rFont val="Arial"/>
        <family val="2"/>
      </rPr>
      <t>im hellgrün hinterlegten Bereich</t>
    </r>
    <r>
      <rPr>
        <sz val="10"/>
        <rFont val="Arial"/>
        <family val="2"/>
      </rPr>
      <t xml:space="preserve"> an.</t>
    </r>
  </si>
  <si>
    <t>Geschäftsreisen (Mobilität)</t>
  </si>
  <si>
    <t>Geschäftsreisen (Hotelübernachtung)</t>
  </si>
  <si>
    <t>Zwischenergebnis (Mobilität)</t>
  </si>
  <si>
    <r>
      <rPr>
        <b/>
        <sz val="10"/>
        <rFont val="Arial"/>
        <family val="2"/>
      </rPr>
      <t>Zwischenergebnis:</t>
    </r>
    <r>
      <rPr>
        <sz val="10"/>
        <rFont val="Arial"/>
        <family val="2"/>
      </rPr>
      <t xml:space="preserve"> THG-Emissionen durch Dienstreisen (</t>
    </r>
    <r>
      <rPr>
        <b/>
        <sz val="10"/>
        <rFont val="Arial"/>
        <family val="2"/>
      </rPr>
      <t>Mobilität</t>
    </r>
    <r>
      <rPr>
        <sz val="10"/>
        <rFont val="Arial"/>
        <family val="2"/>
      </rPr>
      <t>)</t>
    </r>
  </si>
  <si>
    <t>Zwischenergebnis (Hotelübernachtung)</t>
  </si>
  <si>
    <r>
      <t>=&gt; Ergebnis (kg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 in Ecocockpit eingeben</t>
    </r>
  </si>
  <si>
    <r>
      <t>=&gt; Ergebnis (kg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e) in Ecocockpit eingeben</t>
    </r>
  </si>
  <si>
    <r>
      <t>=&gt; Ergebnis (kg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e) in Ecocockpit eingeben: A) Geschäftsreisen (Golfstandard)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</si>
</sst>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0.000"/>
    <numFmt numFmtId="166" formatCode="0.0%"/>
    <numFmt numFmtId="167" formatCode="0\ &quot;km&quot;"/>
    <numFmt numFmtId="168" formatCode="_-* #,##0_-;\-* #,##0_-;_-* &quot;-&quot;??_-;_-@_-"/>
    <numFmt numFmtId="169" formatCode="0.0000"/>
    <numFmt numFmtId="170" formatCode="_-* #,##0.000_-;\-* #,##0.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38B1FD"/>
      <name val="Arial"/>
      <family val="2"/>
    </font>
    <font>
      <sz val="10"/>
      <color rgb="FF9154D8"/>
      <name val="Arial"/>
      <family val="2"/>
    </font>
    <font>
      <sz val="10"/>
      <color rgb="FFF2C446"/>
      <name val="Arial"/>
      <family val="2"/>
    </font>
    <font>
      <sz val="11"/>
      <color theme="1"/>
      <name val="Arial"/>
      <family val="2"/>
    </font>
    <font>
      <b/>
      <u/>
      <sz val="11"/>
      <color rgb="FF0070C0"/>
      <name val="Arial"/>
      <family val="2"/>
    </font>
    <font>
      <b/>
      <vertAlign val="subscript"/>
      <sz val="10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rgb="FF0070C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vertAlign val="subscript"/>
      <sz val="10"/>
      <name val="Arial"/>
      <family val="2"/>
    </font>
    <font>
      <b/>
      <vertAlign val="subscript"/>
      <sz val="10"/>
      <color theme="1"/>
      <name val="Arial"/>
      <family val="2"/>
    </font>
    <font>
      <sz val="10"/>
      <color theme="1"/>
      <name val="Arial"/>
    </font>
  </fonts>
  <fills count="1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59999389629810485"/>
        <bgColor theme="4"/>
      </patternFill>
    </fill>
    <fill>
      <patternFill patternType="lightDown">
        <fgColor theme="1"/>
        <bgColor theme="8" tint="0.59999389629810485"/>
      </patternFill>
    </fill>
    <fill>
      <patternFill patternType="solid">
        <fgColor theme="8" tint="0.59999389629810485"/>
        <bgColor theme="7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4F7C"/>
        <bgColor indexed="64"/>
      </patternFill>
    </fill>
    <fill>
      <patternFill patternType="solid">
        <fgColor rgb="FF38B1FD"/>
        <bgColor indexed="64"/>
      </patternFill>
    </fill>
    <fill>
      <patternFill patternType="solid">
        <fgColor rgb="FF9154D8"/>
        <bgColor indexed="64"/>
      </patternFill>
    </fill>
    <fill>
      <patternFill patternType="solid">
        <fgColor rgb="FFF2C446"/>
        <bgColor indexed="64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6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4" tint="0.39997558519241921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mediumDashed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Dashed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mediumDashed">
        <color auto="1"/>
      </bottom>
      <diagonal/>
    </border>
    <border>
      <left style="mediumDashed">
        <color auto="1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Dashed">
        <color auto="1"/>
      </bottom>
      <diagonal/>
    </border>
    <border>
      <left style="mediumDashed">
        <color auto="1"/>
      </left>
      <right/>
      <top style="thin">
        <color theme="8" tint="-0.249977111117893"/>
      </top>
      <bottom style="mediumDash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-0.249977111117893"/>
      </left>
      <right/>
      <top/>
      <bottom style="mediumDashed">
        <color auto="1"/>
      </bottom>
      <diagonal/>
    </border>
    <border>
      <left/>
      <right style="thin">
        <color theme="8" tint="-0.249977111117893"/>
      </right>
      <top/>
      <bottom/>
      <diagonal/>
    </border>
    <border>
      <left style="thin">
        <color theme="4" tint="0.39997558519241921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thin">
        <color theme="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indexed="64"/>
      </right>
      <top style="thin">
        <color theme="4"/>
      </top>
      <bottom/>
      <diagonal/>
    </border>
    <border>
      <left style="thin">
        <color theme="8" tint="-0.249977111117893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0">
    <xf numFmtId="0" fontId="0" fillId="0" borderId="0" xfId="0"/>
    <xf numFmtId="0" fontId="2" fillId="7" borderId="14" xfId="0" applyFont="1" applyFill="1" applyBorder="1"/>
    <xf numFmtId="0" fontId="2" fillId="6" borderId="1" xfId="0" applyFont="1" applyFill="1" applyBorder="1" applyAlignment="1">
      <alignment horizontal="center"/>
    </xf>
    <xf numFmtId="3" fontId="2" fillId="7" borderId="14" xfId="0" applyNumberFormat="1" applyFont="1" applyFill="1" applyBorder="1" applyAlignment="1">
      <alignment horizontal="center"/>
    </xf>
    <xf numFmtId="164" fontId="5" fillId="0" borderId="0" xfId="3" applyFont="1" applyBorder="1"/>
    <xf numFmtId="0" fontId="5" fillId="0" borderId="50" xfId="0" applyFont="1" applyBorder="1" applyAlignment="1">
      <alignment horizontal="left" vertical="top"/>
    </xf>
    <xf numFmtId="164" fontId="6" fillId="11" borderId="59" xfId="3" applyFont="1" applyFill="1" applyBorder="1"/>
    <xf numFmtId="164" fontId="5" fillId="10" borderId="58" xfId="3" applyFont="1" applyFill="1" applyBorder="1"/>
    <xf numFmtId="0" fontId="5" fillId="0" borderId="0" xfId="0" applyFont="1"/>
    <xf numFmtId="164" fontId="8" fillId="12" borderId="28" xfId="3" applyFont="1" applyFill="1" applyBorder="1" applyAlignment="1">
      <alignment vertical="center" wrapText="1"/>
    </xf>
    <xf numFmtId="164" fontId="8" fillId="12" borderId="29" xfId="3" applyFont="1" applyFill="1" applyBorder="1" applyAlignment="1">
      <alignment vertical="center" wrapText="1"/>
    </xf>
    <xf numFmtId="0" fontId="5" fillId="13" borderId="0" xfId="0" applyFont="1" applyFill="1"/>
    <xf numFmtId="0" fontId="5" fillId="14" borderId="0" xfId="0" applyFont="1" applyFill="1"/>
    <xf numFmtId="0" fontId="5" fillId="15" borderId="0" xfId="0" applyFont="1" applyFill="1"/>
    <xf numFmtId="0" fontId="5" fillId="13" borderId="55" xfId="0" applyFont="1" applyFill="1" applyBorder="1"/>
    <xf numFmtId="0" fontId="5" fillId="14" borderId="32" xfId="0" applyFont="1" applyFill="1" applyBorder="1"/>
    <xf numFmtId="0" fontId="5" fillId="15" borderId="37" xfId="0" applyFont="1" applyFill="1" applyBorder="1"/>
    <xf numFmtId="3" fontId="2" fillId="16" borderId="1" xfId="0" applyNumberFormat="1" applyFont="1" applyFill="1" applyBorder="1" applyProtection="1">
      <protection locked="0"/>
    </xf>
    <xf numFmtId="3" fontId="2" fillId="16" borderId="8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164" fontId="5" fillId="0" borderId="0" xfId="3" applyFont="1" applyBorder="1" applyAlignment="1">
      <alignment vertical="center"/>
    </xf>
    <xf numFmtId="164" fontId="5" fillId="0" borderId="48" xfId="3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164" fontId="6" fillId="11" borderId="71" xfId="3" applyFont="1" applyFill="1" applyBorder="1"/>
    <xf numFmtId="164" fontId="6" fillId="11" borderId="72" xfId="3" applyFont="1" applyFill="1" applyBorder="1"/>
    <xf numFmtId="164" fontId="6" fillId="11" borderId="73" xfId="3" applyFont="1" applyFill="1" applyBorder="1"/>
    <xf numFmtId="0" fontId="3" fillId="6" borderId="1" xfId="0" applyFont="1" applyFill="1" applyBorder="1" applyAlignment="1">
      <alignment horizontal="center"/>
    </xf>
    <xf numFmtId="164" fontId="8" fillId="9" borderId="28" xfId="3" applyFont="1" applyFill="1" applyBorder="1" applyAlignment="1">
      <alignment vertical="center" wrapText="1"/>
    </xf>
    <xf numFmtId="164" fontId="8" fillId="9" borderId="29" xfId="3" applyFont="1" applyFill="1" applyBorder="1" applyAlignment="1">
      <alignment vertical="center" wrapText="1"/>
    </xf>
    <xf numFmtId="0" fontId="10" fillId="2" borderId="10" xfId="0" applyFont="1" applyFill="1" applyBorder="1"/>
    <xf numFmtId="0" fontId="10" fillId="2" borderId="1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wrapText="1"/>
    </xf>
    <xf numFmtId="0" fontId="2" fillId="3" borderId="3" xfId="0" applyFont="1" applyFill="1" applyBorder="1"/>
    <xf numFmtId="3" fontId="2" fillId="10" borderId="1" xfId="0" applyNumberFormat="1" applyFont="1" applyFill="1" applyBorder="1" applyAlignment="1" applyProtection="1">
      <alignment horizontal="center"/>
      <protection locked="0"/>
    </xf>
    <xf numFmtId="3" fontId="2" fillId="3" borderId="14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4" fontId="2" fillId="11" borderId="14" xfId="0" applyNumberFormat="1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2" fillId="3" borderId="13" xfId="0" applyFont="1" applyFill="1" applyBorder="1"/>
    <xf numFmtId="3" fontId="2" fillId="3" borderId="8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4" fontId="2" fillId="11" borderId="7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2" fillId="0" borderId="23" xfId="0" applyFont="1" applyBorder="1"/>
    <xf numFmtId="0" fontId="2" fillId="0" borderId="0" xfId="0" applyFont="1"/>
    <xf numFmtId="0" fontId="2" fillId="0" borderId="48" xfId="0" applyFont="1" applyBorder="1"/>
    <xf numFmtId="0" fontId="2" fillId="0" borderId="50" xfId="0" applyFont="1" applyBorder="1"/>
    <xf numFmtId="164" fontId="2" fillId="0" borderId="0" xfId="3" applyFont="1" applyBorder="1"/>
    <xf numFmtId="0" fontId="2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3" applyFont="1" applyBorder="1" applyAlignment="1">
      <alignment vertical="center"/>
    </xf>
    <xf numFmtId="0" fontId="2" fillId="0" borderId="0" xfId="0" applyFont="1" applyAlignment="1" applyProtection="1">
      <alignment horizontal="right"/>
      <protection locked="0"/>
    </xf>
    <xf numFmtId="0" fontId="5" fillId="0" borderId="33" xfId="0" applyFont="1" applyBorder="1" applyAlignment="1">
      <alignment vertical="top"/>
    </xf>
    <xf numFmtId="0" fontId="2" fillId="0" borderId="69" xfId="0" applyFont="1" applyBorder="1"/>
    <xf numFmtId="0" fontId="2" fillId="0" borderId="69" xfId="0" applyFont="1" applyBorder="1" applyAlignment="1">
      <alignment horizontal="center"/>
    </xf>
    <xf numFmtId="0" fontId="2" fillId="0" borderId="70" xfId="0" applyFont="1" applyBorder="1"/>
    <xf numFmtId="0" fontId="6" fillId="0" borderId="33" xfId="0" applyFont="1" applyBorder="1" applyAlignment="1">
      <alignment vertical="top"/>
    </xf>
    <xf numFmtId="0" fontId="2" fillId="0" borderId="0" xfId="0" applyFont="1" applyAlignment="1" applyProtection="1">
      <alignment horizontal="center"/>
      <protection locked="0"/>
    </xf>
    <xf numFmtId="0" fontId="2" fillId="0" borderId="11" xfId="0" quotePrefix="1" applyFont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 applyProtection="1">
      <alignment horizontal="center"/>
      <protection locked="0"/>
    </xf>
    <xf numFmtId="4" fontId="2" fillId="11" borderId="14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75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vertical="center" wrapText="1"/>
    </xf>
    <xf numFmtId="3" fontId="2" fillId="16" borderId="11" xfId="0" applyNumberFormat="1" applyFont="1" applyFill="1" applyBorder="1" applyAlignment="1" applyProtection="1">
      <alignment horizontal="center"/>
      <protection locked="0"/>
    </xf>
    <xf numFmtId="3" fontId="2" fillId="16" borderId="1" xfId="0" applyNumberFormat="1" applyFont="1" applyFill="1" applyBorder="1" applyAlignment="1" applyProtection="1">
      <alignment horizontal="center"/>
      <protection locked="0"/>
    </xf>
    <xf numFmtId="3" fontId="2" fillId="16" borderId="2" xfId="0" applyNumberFormat="1" applyFont="1" applyFill="1" applyBorder="1" applyAlignment="1">
      <alignment horizontal="center"/>
    </xf>
    <xf numFmtId="0" fontId="2" fillId="18" borderId="76" xfId="0" applyFont="1" applyFill="1" applyBorder="1"/>
    <xf numFmtId="0" fontId="3" fillId="3" borderId="14" xfId="0" applyFont="1" applyFill="1" applyBorder="1"/>
    <xf numFmtId="0" fontId="10" fillId="2" borderId="1" xfId="0" applyFont="1" applyFill="1" applyBorder="1"/>
    <xf numFmtId="0" fontId="10" fillId="2" borderId="1" xfId="0" quotePrefix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wrapText="1"/>
    </xf>
    <xf numFmtId="0" fontId="2" fillId="6" borderId="14" xfId="0" applyFont="1" applyFill="1" applyBorder="1" applyAlignment="1">
      <alignment horizontal="center"/>
    </xf>
    <xf numFmtId="0" fontId="10" fillId="2" borderId="11" xfId="0" applyFont="1" applyFill="1" applyBorder="1"/>
    <xf numFmtId="0" fontId="10" fillId="2" borderId="11" xfId="0" quotePrefix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wrapText="1"/>
    </xf>
    <xf numFmtId="0" fontId="3" fillId="3" borderId="7" xfId="0" applyFont="1" applyFill="1" applyBorder="1"/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0" fillId="2" borderId="11" xfId="0" quotePrefix="1" applyFont="1" applyFill="1" applyBorder="1" applyAlignment="1">
      <alignment horizontal="center" wrapText="1"/>
    </xf>
    <xf numFmtId="0" fontId="3" fillId="6" borderId="64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3" borderId="6" xfId="0" applyFont="1" applyFill="1" applyBorder="1"/>
    <xf numFmtId="0" fontId="2" fillId="0" borderId="69" xfId="0" applyFont="1" applyBorder="1" applyProtection="1">
      <protection locked="0"/>
    </xf>
    <xf numFmtId="0" fontId="2" fillId="0" borderId="69" xfId="0" applyFont="1" applyBorder="1" applyAlignment="1" applyProtection="1">
      <alignment horizontal="center"/>
      <protection locked="0"/>
    </xf>
    <xf numFmtId="3" fontId="2" fillId="11" borderId="14" xfId="0" applyNumberFormat="1" applyFont="1" applyFill="1" applyBorder="1" applyAlignment="1">
      <alignment horizontal="center"/>
    </xf>
    <xf numFmtId="0" fontId="18" fillId="3" borderId="3" xfId="0" applyFont="1" applyFill="1" applyBorder="1"/>
    <xf numFmtId="3" fontId="2" fillId="3" borderId="14" xfId="0" applyNumberFormat="1" applyFont="1" applyFill="1" applyBorder="1" applyAlignment="1">
      <alignment horizontal="left"/>
    </xf>
    <xf numFmtId="0" fontId="19" fillId="2" borderId="1" xfId="0" applyFont="1" applyFill="1" applyBorder="1"/>
    <xf numFmtId="0" fontId="2" fillId="0" borderId="10" xfId="0" applyFont="1" applyBorder="1"/>
    <xf numFmtId="0" fontId="2" fillId="0" borderId="11" xfId="0" applyFont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0" fontId="20" fillId="0" borderId="0" xfId="0" applyFont="1"/>
    <xf numFmtId="0" fontId="2" fillId="0" borderId="0" xfId="0" applyFont="1" applyAlignment="1">
      <alignment horizontal="center"/>
    </xf>
    <xf numFmtId="4" fontId="2" fillId="11" borderId="12" xfId="0" applyNumberFormat="1" applyFont="1" applyFill="1" applyBorder="1" applyAlignment="1" applyProtection="1">
      <alignment horizontal="center"/>
      <protection locked="0"/>
    </xf>
    <xf numFmtId="4" fontId="2" fillId="11" borderId="7" xfId="0" applyNumberFormat="1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0" borderId="11" xfId="0" quotePrefix="1" applyFont="1" applyBorder="1"/>
    <xf numFmtId="164" fontId="2" fillId="0" borderId="0" xfId="3" applyFont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3" borderId="66" xfId="0" applyFont="1" applyFill="1" applyBorder="1"/>
    <xf numFmtId="164" fontId="6" fillId="0" borderId="48" xfId="3" applyFont="1" applyFill="1" applyBorder="1" applyAlignment="1">
      <alignment vertical="center"/>
    </xf>
    <xf numFmtId="0" fontId="2" fillId="3" borderId="68" xfId="0" applyFont="1" applyFill="1" applyBorder="1"/>
    <xf numFmtId="0" fontId="2" fillId="3" borderId="67" xfId="0" applyFont="1" applyFill="1" applyBorder="1"/>
    <xf numFmtId="3" fontId="2" fillId="3" borderId="62" xfId="0" applyNumberFormat="1" applyFont="1" applyFill="1" applyBorder="1" applyAlignment="1">
      <alignment horizontal="center"/>
    </xf>
    <xf numFmtId="165" fontId="2" fillId="3" borderId="63" xfId="0" applyNumberFormat="1" applyFont="1" applyFill="1" applyBorder="1" applyAlignment="1">
      <alignment horizontal="center"/>
    </xf>
    <xf numFmtId="164" fontId="2" fillId="0" borderId="50" xfId="3" applyFont="1" applyBorder="1" applyAlignment="1">
      <alignment vertical="center"/>
    </xf>
    <xf numFmtId="164" fontId="7" fillId="0" borderId="51" xfId="3" applyFont="1" applyFill="1" applyBorder="1" applyAlignment="1">
      <alignment horizontal="right" vertical="center"/>
    </xf>
    <xf numFmtId="0" fontId="2" fillId="8" borderId="51" xfId="0" applyFont="1" applyFill="1" applyBorder="1"/>
    <xf numFmtId="0" fontId="21" fillId="0" borderId="0" xfId="0" applyFont="1"/>
    <xf numFmtId="0" fontId="21" fillId="0" borderId="0" xfId="0" applyFont="1" applyAlignment="1">
      <alignment horizontal="center"/>
    </xf>
    <xf numFmtId="1" fontId="10" fillId="2" borderId="1" xfId="0" applyNumberFormat="1" applyFont="1" applyFill="1" applyBorder="1" applyAlignment="1">
      <alignment horizontal="center" wrapText="1"/>
    </xf>
    <xf numFmtId="9" fontId="2" fillId="10" borderId="1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7" fontId="2" fillId="3" borderId="1" xfId="0" applyNumberFormat="1" applyFont="1" applyFill="1" applyBorder="1" applyAlignment="1" applyProtection="1">
      <alignment horizontal="center"/>
      <protection locked="0"/>
    </xf>
    <xf numFmtId="9" fontId="2" fillId="17" borderId="1" xfId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33" xfId="0" applyFont="1" applyBorder="1"/>
    <xf numFmtId="1" fontId="10" fillId="2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center" wrapText="1"/>
    </xf>
    <xf numFmtId="1" fontId="10" fillId="2" borderId="16" xfId="0" applyNumberFormat="1" applyFont="1" applyFill="1" applyBorder="1" applyAlignment="1">
      <alignment horizontal="center" wrapText="1"/>
    </xf>
    <xf numFmtId="0" fontId="2" fillId="4" borderId="1" xfId="0" applyFont="1" applyFill="1" applyBorder="1"/>
    <xf numFmtId="3" fontId="2" fillId="3" borderId="6" xfId="0" applyNumberFormat="1" applyFont="1" applyFill="1" applyBorder="1" applyAlignment="1">
      <alignment horizontal="center"/>
    </xf>
    <xf numFmtId="0" fontId="6" fillId="5" borderId="1" xfId="0" applyFont="1" applyFill="1" applyBorder="1"/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9" fontId="3" fillId="3" borderId="6" xfId="1" applyFont="1" applyFill="1" applyBorder="1" applyAlignment="1" applyProtection="1">
      <alignment horizontal="center"/>
    </xf>
    <xf numFmtId="166" fontId="3" fillId="3" borderId="6" xfId="1" applyNumberFormat="1" applyFont="1" applyFill="1" applyBorder="1" applyAlignment="1" applyProtection="1">
      <alignment horizontal="center"/>
    </xf>
    <xf numFmtId="2" fontId="2" fillId="0" borderId="0" xfId="0" applyNumberFormat="1" applyFont="1" applyProtection="1">
      <protection locked="0"/>
    </xf>
    <xf numFmtId="3" fontId="2" fillId="17" borderId="1" xfId="0" applyNumberFormat="1" applyFont="1" applyFill="1" applyBorder="1" applyAlignment="1" applyProtection="1">
      <alignment horizontal="right" indent="1"/>
      <protection locked="0"/>
    </xf>
    <xf numFmtId="0" fontId="11" fillId="0" borderId="0" xfId="0" applyFont="1" applyAlignment="1" applyProtection="1">
      <alignment horizontal="center"/>
      <protection locked="0"/>
    </xf>
    <xf numFmtId="3" fontId="2" fillId="17" borderId="8" xfId="0" applyNumberFormat="1" applyFont="1" applyFill="1" applyBorder="1" applyAlignment="1" applyProtection="1">
      <alignment horizontal="right" indent="1"/>
      <protection locked="0"/>
    </xf>
    <xf numFmtId="0" fontId="2" fillId="3" borderId="1" xfId="0" quotePrefix="1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9" fontId="2" fillId="3" borderId="1" xfId="1" applyFont="1" applyFill="1" applyBorder="1" applyAlignment="1">
      <alignment horizontal="center"/>
    </xf>
    <xf numFmtId="168" fontId="2" fillId="10" borderId="1" xfId="3" applyNumberFormat="1" applyFont="1" applyFill="1" applyBorder="1" applyAlignment="1" applyProtection="1">
      <alignment horizontal="center" vertical="center"/>
      <protection locked="0"/>
    </xf>
    <xf numFmtId="164" fontId="5" fillId="0" borderId="0" xfId="3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3" borderId="8" xfId="0" applyFont="1" applyFill="1" applyBorder="1" applyAlignment="1">
      <alignment horizontal="center"/>
    </xf>
    <xf numFmtId="9" fontId="2" fillId="10" borderId="8" xfId="1" applyFont="1" applyFill="1" applyBorder="1" applyAlignment="1" applyProtection="1">
      <alignment horizontal="center" vertical="center"/>
      <protection locked="0"/>
    </xf>
    <xf numFmtId="167" fontId="2" fillId="3" borderId="8" xfId="0" applyNumberFormat="1" applyFont="1" applyFill="1" applyBorder="1" applyAlignment="1" applyProtection="1">
      <alignment horizontal="center"/>
      <protection locked="0"/>
    </xf>
    <xf numFmtId="9" fontId="2" fillId="17" borderId="8" xfId="1" applyFont="1" applyFill="1" applyBorder="1" applyAlignment="1" applyProtection="1">
      <alignment horizontal="center" vertical="center"/>
      <protection locked="0"/>
    </xf>
    <xf numFmtId="168" fontId="3" fillId="3" borderId="1" xfId="3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" fillId="17" borderId="0" xfId="0" applyFont="1" applyFill="1"/>
    <xf numFmtId="0" fontId="2" fillId="3" borderId="13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9" fontId="2" fillId="17" borderId="11" xfId="1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3" fontId="2" fillId="10" borderId="15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19" xfId="0" applyFont="1" applyFill="1" applyBorder="1" applyAlignment="1">
      <alignment wrapText="1"/>
    </xf>
    <xf numFmtId="3" fontId="2" fillId="3" borderId="20" xfId="0" applyNumberFormat="1" applyFont="1" applyFill="1" applyBorder="1" applyAlignment="1">
      <alignment horizontal="right"/>
    </xf>
    <xf numFmtId="3" fontId="2" fillId="3" borderId="4" xfId="0" applyNumberFormat="1" applyFont="1" applyFill="1" applyBorder="1"/>
    <xf numFmtId="0" fontId="23" fillId="3" borderId="13" xfId="0" applyFont="1" applyFill="1" applyBorder="1"/>
    <xf numFmtId="0" fontId="23" fillId="6" borderId="1" xfId="0" applyFont="1" applyFill="1" applyBorder="1" applyAlignment="1">
      <alignment horizontal="center"/>
    </xf>
    <xf numFmtId="9" fontId="23" fillId="3" borderId="8" xfId="0" applyNumberFormat="1" applyFont="1" applyFill="1" applyBorder="1" applyAlignment="1" applyProtection="1">
      <alignment horizontal="center"/>
      <protection locked="0"/>
    </xf>
    <xf numFmtId="167" fontId="23" fillId="3" borderId="8" xfId="0" applyNumberFormat="1" applyFont="1" applyFill="1" applyBorder="1" applyAlignment="1" applyProtection="1">
      <alignment horizontal="left"/>
      <protection locked="0"/>
    </xf>
    <xf numFmtId="0" fontId="3" fillId="0" borderId="33" xfId="0" applyFont="1" applyBorder="1"/>
    <xf numFmtId="0" fontId="10" fillId="2" borderId="19" xfId="0" applyFont="1" applyFill="1" applyBorder="1" applyAlignment="1">
      <alignment wrapText="1"/>
    </xf>
    <xf numFmtId="1" fontId="2" fillId="17" borderId="1" xfId="1" applyNumberFormat="1" applyFont="1" applyFill="1" applyBorder="1" applyAlignment="1" applyProtection="1">
      <alignment horizontal="center" vertical="center"/>
      <protection locked="0"/>
    </xf>
    <xf numFmtId="165" fontId="2" fillId="3" borderId="2" xfId="0" applyNumberFormat="1" applyFont="1" applyFill="1" applyBorder="1" applyAlignment="1">
      <alignment horizontal="left"/>
    </xf>
    <xf numFmtId="4" fontId="2" fillId="11" borderId="64" xfId="0" applyNumberFormat="1" applyFont="1" applyFill="1" applyBorder="1" applyAlignment="1">
      <alignment horizontal="center"/>
    </xf>
    <xf numFmtId="164" fontId="2" fillId="3" borderId="15" xfId="3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3" borderId="78" xfId="0" applyFont="1" applyFill="1" applyBorder="1"/>
    <xf numFmtId="0" fontId="2" fillId="3" borderId="74" xfId="0" applyFont="1" applyFill="1" applyBorder="1" applyAlignment="1">
      <alignment horizontal="center"/>
    </xf>
    <xf numFmtId="4" fontId="2" fillId="11" borderId="74" xfId="0" applyNumberFormat="1" applyFont="1" applyFill="1" applyBorder="1" applyAlignment="1">
      <alignment horizontal="center"/>
    </xf>
    <xf numFmtId="3" fontId="2" fillId="3" borderId="7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2" fillId="0" borderId="28" xfId="0" applyFont="1" applyBorder="1"/>
    <xf numFmtId="0" fontId="2" fillId="0" borderId="24" xfId="0" applyFont="1" applyBorder="1"/>
    <xf numFmtId="0" fontId="2" fillId="0" borderId="29" xfId="0" applyFont="1" applyBorder="1"/>
    <xf numFmtId="0" fontId="2" fillId="0" borderId="47" xfId="0" applyFont="1" applyBorder="1"/>
    <xf numFmtId="0" fontId="2" fillId="0" borderId="49" xfId="0" applyFont="1" applyBorder="1"/>
    <xf numFmtId="0" fontId="2" fillId="13" borderId="54" xfId="0" applyFont="1" applyFill="1" applyBorder="1"/>
    <xf numFmtId="164" fontId="2" fillId="13" borderId="55" xfId="3" applyFont="1" applyFill="1" applyBorder="1"/>
    <xf numFmtId="164" fontId="2" fillId="10" borderId="57" xfId="3" applyFont="1" applyFill="1" applyBorder="1"/>
    <xf numFmtId="0" fontId="2" fillId="14" borderId="31" xfId="0" applyFont="1" applyFill="1" applyBorder="1"/>
    <xf numFmtId="164" fontId="2" fillId="14" borderId="32" xfId="3" applyFont="1" applyFill="1" applyBorder="1"/>
    <xf numFmtId="164" fontId="2" fillId="10" borderId="58" xfId="3" applyFont="1" applyFill="1" applyBorder="1"/>
    <xf numFmtId="0" fontId="2" fillId="15" borderId="36" xfId="0" applyFont="1" applyFill="1" applyBorder="1"/>
    <xf numFmtId="164" fontId="2" fillId="15" borderId="37" xfId="3" applyFont="1" applyFill="1" applyBorder="1"/>
    <xf numFmtId="164" fontId="2" fillId="10" borderId="60" xfId="3" applyFont="1" applyFill="1" applyBorder="1"/>
    <xf numFmtId="0" fontId="2" fillId="0" borderId="53" xfId="0" applyFont="1" applyBorder="1"/>
    <xf numFmtId="0" fontId="2" fillId="0" borderId="61" xfId="0" applyFont="1" applyBorder="1"/>
    <xf numFmtId="0" fontId="4" fillId="0" borderId="35" xfId="4" applyFont="1" applyBorder="1"/>
    <xf numFmtId="0" fontId="2" fillId="0" borderId="35" xfId="0" applyFont="1" applyBorder="1"/>
    <xf numFmtId="0" fontId="10" fillId="2" borderId="14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2" fillId="0" borderId="0" xfId="0" quotePrefix="1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166" fontId="2" fillId="3" borderId="15" xfId="1" applyNumberFormat="1" applyFont="1" applyFill="1" applyBorder="1" applyAlignment="1" applyProtection="1">
      <alignment horizontal="right"/>
    </xf>
    <xf numFmtId="0" fontId="2" fillId="3" borderId="15" xfId="0" applyFont="1" applyFill="1" applyBorder="1" applyAlignment="1">
      <alignment horizontal="right"/>
    </xf>
    <xf numFmtId="3" fontId="2" fillId="3" borderId="21" xfId="0" applyNumberFormat="1" applyFont="1" applyFill="1" applyBorder="1"/>
    <xf numFmtId="166" fontId="2" fillId="3" borderId="21" xfId="0" applyNumberFormat="1" applyFont="1" applyFill="1" applyBorder="1"/>
    <xf numFmtId="0" fontId="10" fillId="2" borderId="2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/>
    </xf>
    <xf numFmtId="0" fontId="10" fillId="2" borderId="22" xfId="0" quotePrefix="1" applyFont="1" applyFill="1" applyBorder="1" applyAlignment="1">
      <alignment horizontal="center" vertical="center"/>
    </xf>
    <xf numFmtId="0" fontId="2" fillId="3" borderId="79" xfId="0" applyFont="1" applyFill="1" applyBorder="1"/>
    <xf numFmtId="0" fontId="10" fillId="2" borderId="15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165" fontId="2" fillId="3" borderId="15" xfId="1" applyNumberFormat="1" applyFont="1" applyFill="1" applyBorder="1" applyAlignment="1">
      <alignment horizontal="right"/>
    </xf>
    <xf numFmtId="164" fontId="2" fillId="3" borderId="15" xfId="3" applyFont="1" applyFill="1" applyBorder="1" applyAlignment="1">
      <alignment horizontal="right"/>
    </xf>
    <xf numFmtId="4" fontId="2" fillId="11" borderId="15" xfId="0" applyNumberFormat="1" applyFont="1" applyFill="1" applyBorder="1" applyAlignment="1">
      <alignment horizontal="right"/>
    </xf>
    <xf numFmtId="4" fontId="2" fillId="11" borderId="12" xfId="0" applyNumberFormat="1" applyFont="1" applyFill="1" applyBorder="1" applyAlignment="1">
      <alignment horizontal="center"/>
    </xf>
    <xf numFmtId="165" fontId="2" fillId="3" borderId="80" xfId="0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3" fontId="5" fillId="10" borderId="1" xfId="0" applyNumberFormat="1" applyFont="1" applyFill="1" applyBorder="1" applyAlignment="1" applyProtection="1">
      <alignment horizontal="center"/>
      <protection locked="0"/>
    </xf>
    <xf numFmtId="0" fontId="24" fillId="3" borderId="3" xfId="0" applyFont="1" applyFill="1" applyBorder="1"/>
    <xf numFmtId="0" fontId="25" fillId="3" borderId="3" xfId="0" applyFont="1" applyFill="1" applyBorder="1"/>
    <xf numFmtId="3" fontId="25" fillId="3" borderId="14" xfId="0" applyNumberFormat="1" applyFont="1" applyFill="1" applyBorder="1" applyAlignment="1">
      <alignment horizontal="left"/>
    </xf>
    <xf numFmtId="0" fontId="10" fillId="2" borderId="22" xfId="0" quotePrefix="1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/>
    </xf>
    <xf numFmtId="0" fontId="2" fillId="3" borderId="81" xfId="0" applyNumberFormat="1" applyFont="1" applyFill="1" applyBorder="1" applyAlignment="1">
      <alignment horizontal="right"/>
    </xf>
    <xf numFmtId="0" fontId="2" fillId="3" borderId="64" xfId="0" applyFont="1" applyFill="1" applyBorder="1" applyAlignment="1">
      <alignment horizontal="left"/>
    </xf>
    <xf numFmtId="4" fontId="2" fillId="11" borderId="81" xfId="0" applyNumberFormat="1" applyFont="1" applyFill="1" applyBorder="1" applyAlignment="1">
      <alignment horizontal="right"/>
    </xf>
    <xf numFmtId="164" fontId="6" fillId="11" borderId="82" xfId="3" applyFont="1" applyFill="1" applyBorder="1"/>
    <xf numFmtId="0" fontId="2" fillId="0" borderId="30" xfId="0" applyFont="1" applyBorder="1"/>
    <xf numFmtId="2" fontId="5" fillId="0" borderId="34" xfId="0" applyNumberFormat="1" applyFont="1" applyBorder="1"/>
    <xf numFmtId="169" fontId="2" fillId="3" borderId="1" xfId="0" applyNumberFormat="1" applyFont="1" applyFill="1" applyBorder="1" applyAlignment="1">
      <alignment horizontal="center"/>
    </xf>
    <xf numFmtId="165" fontId="28" fillId="3" borderId="11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164" fontId="2" fillId="10" borderId="83" xfId="3" applyFont="1" applyFill="1" applyBorder="1"/>
    <xf numFmtId="164" fontId="6" fillId="11" borderId="84" xfId="3" applyFont="1" applyFill="1" applyBorder="1"/>
    <xf numFmtId="0" fontId="2" fillId="0" borderId="23" xfId="0" applyFont="1" applyBorder="1" applyAlignment="1">
      <alignment horizontal="right"/>
    </xf>
    <xf numFmtId="0" fontId="2" fillId="0" borderId="52" xfId="0" applyFont="1" applyBorder="1" applyAlignment="1">
      <alignment horizontal="right"/>
    </xf>
    <xf numFmtId="0" fontId="2" fillId="6" borderId="1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170" fontId="2" fillId="13" borderId="56" xfId="3" applyNumberFormat="1" applyFont="1" applyFill="1" applyBorder="1"/>
    <xf numFmtId="170" fontId="2" fillId="14" borderId="33" xfId="3" applyNumberFormat="1" applyFont="1" applyFill="1" applyBorder="1"/>
    <xf numFmtId="170" fontId="2" fillId="15" borderId="38" xfId="3" applyNumberFormat="1" applyFont="1" applyFill="1" applyBorder="1"/>
    <xf numFmtId="164" fontId="5" fillId="0" borderId="40" xfId="3" applyFont="1" applyBorder="1"/>
    <xf numFmtId="164" fontId="6" fillId="11" borderId="41" xfId="3" applyFont="1" applyFill="1" applyBorder="1"/>
    <xf numFmtId="0" fontId="3" fillId="8" borderId="42" xfId="0" quotePrefix="1" applyFont="1" applyFill="1" applyBorder="1" applyAlignment="1">
      <alignment horizontal="left"/>
    </xf>
    <xf numFmtId="0" fontId="2" fillId="0" borderId="85" xfId="0" applyFont="1" applyBorder="1"/>
    <xf numFmtId="0" fontId="28" fillId="3" borderId="13" xfId="0" applyFont="1" applyFill="1" applyBorder="1"/>
    <xf numFmtId="0" fontId="28" fillId="6" borderId="1" xfId="0" applyFont="1" applyFill="1" applyBorder="1" applyAlignment="1">
      <alignment horizontal="center"/>
    </xf>
    <xf numFmtId="4" fontId="28" fillId="11" borderId="7" xfId="0" applyNumberFormat="1" applyFont="1" applyFill="1" applyBorder="1" applyAlignment="1">
      <alignment horizontal="center"/>
    </xf>
    <xf numFmtId="0" fontId="2" fillId="0" borderId="69" xfId="0" applyFont="1" applyFill="1" applyBorder="1"/>
    <xf numFmtId="0" fontId="2" fillId="0" borderId="0" xfId="0" applyFont="1" applyFill="1" applyProtection="1">
      <protection locked="0"/>
    </xf>
    <xf numFmtId="0" fontId="2" fillId="0" borderId="0" xfId="0" applyFont="1" applyFill="1"/>
    <xf numFmtId="0" fontId="8" fillId="12" borderId="30" xfId="0" applyFont="1" applyFill="1" applyBorder="1" applyAlignment="1">
      <alignment horizontal="center" vertical="center" readingOrder="1"/>
    </xf>
    <xf numFmtId="0" fontId="8" fillId="12" borderId="39" xfId="0" applyFont="1" applyFill="1" applyBorder="1" applyAlignment="1">
      <alignment horizontal="center" vertical="center" readingOrder="1"/>
    </xf>
    <xf numFmtId="0" fontId="8" fillId="12" borderId="25" xfId="0" applyFont="1" applyFill="1" applyBorder="1" applyAlignment="1">
      <alignment horizontal="center" vertical="center"/>
    </xf>
    <xf numFmtId="0" fontId="8" fillId="12" borderId="28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/>
    </xf>
    <xf numFmtId="0" fontId="8" fillId="12" borderId="24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 wrapText="1"/>
    </xf>
    <xf numFmtId="0" fontId="8" fillId="12" borderId="27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164" fontId="8" fillId="12" borderId="25" xfId="3" applyFont="1" applyFill="1" applyBorder="1" applyAlignment="1">
      <alignment horizontal="center" vertical="center" wrapText="1"/>
    </xf>
    <xf numFmtId="164" fontId="8" fillId="12" borderId="27" xfId="3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164" fontId="8" fillId="9" borderId="25" xfId="3" applyFont="1" applyFill="1" applyBorder="1" applyAlignment="1">
      <alignment horizontal="center" vertical="center" wrapText="1"/>
    </xf>
    <xf numFmtId="164" fontId="8" fillId="9" borderId="27" xfId="3" applyFont="1" applyFill="1" applyBorder="1" applyAlignment="1">
      <alignment horizontal="center" vertical="center" wrapText="1"/>
    </xf>
    <xf numFmtId="0" fontId="10" fillId="12" borderId="40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2" xfId="0" applyFont="1" applyFill="1" applyBorder="1" applyAlignment="1">
      <alignment horizontal="center"/>
    </xf>
    <xf numFmtId="0" fontId="8" fillId="9" borderId="30" xfId="0" applyFont="1" applyFill="1" applyBorder="1" applyAlignment="1">
      <alignment horizontal="center" vertical="center" readingOrder="1"/>
    </xf>
    <xf numFmtId="0" fontId="8" fillId="9" borderId="39" xfId="0" applyFont="1" applyFill="1" applyBorder="1" applyAlignment="1">
      <alignment horizontal="center" vertical="center" readingOrder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9" borderId="0" xfId="0" applyFont="1" applyFill="1" applyAlignment="1">
      <alignment horizontal="left" vertical="top"/>
    </xf>
    <xf numFmtId="164" fontId="9" fillId="10" borderId="0" xfId="3" applyFont="1" applyFill="1" applyBorder="1" applyAlignment="1">
      <alignment horizontal="center" vertical="center"/>
    </xf>
    <xf numFmtId="164" fontId="9" fillId="10" borderId="50" xfId="3" applyFont="1" applyFill="1" applyBorder="1" applyAlignment="1">
      <alignment horizontal="center" vertical="center"/>
    </xf>
    <xf numFmtId="164" fontId="9" fillId="11" borderId="0" xfId="3" applyFont="1" applyFill="1" applyBorder="1" applyAlignment="1">
      <alignment horizontal="center" vertical="center"/>
    </xf>
    <xf numFmtId="164" fontId="9" fillId="11" borderId="50" xfId="3" applyFont="1" applyFill="1" applyBorder="1" applyAlignment="1">
      <alignment horizontal="center" vertical="center"/>
    </xf>
    <xf numFmtId="0" fontId="8" fillId="12" borderId="0" xfId="0" applyFont="1" applyFill="1" applyAlignment="1">
      <alignment horizontal="left" vertical="top"/>
    </xf>
    <xf numFmtId="0" fontId="10" fillId="9" borderId="40" xfId="0" applyFont="1" applyFill="1" applyBorder="1" applyAlignment="1">
      <alignment horizontal="center"/>
    </xf>
    <xf numFmtId="0" fontId="10" fillId="9" borderId="41" xfId="0" applyFont="1" applyFill="1" applyBorder="1" applyAlignment="1">
      <alignment horizontal="center"/>
    </xf>
    <xf numFmtId="0" fontId="10" fillId="9" borderId="42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3" fillId="8" borderId="0" xfId="0" quotePrefix="1" applyFont="1" applyFill="1" applyAlignment="1">
      <alignment horizontal="left" wrapText="1"/>
    </xf>
    <xf numFmtId="0" fontId="7" fillId="0" borderId="50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64" fontId="9" fillId="10" borderId="8" xfId="3" applyFont="1" applyFill="1" applyBorder="1" applyAlignment="1">
      <alignment horizontal="center" vertical="center"/>
    </xf>
    <xf numFmtId="164" fontId="9" fillId="10" borderId="64" xfId="3" applyFont="1" applyFill="1" applyBorder="1" applyAlignment="1">
      <alignment horizontal="center" vertical="center"/>
    </xf>
    <xf numFmtId="164" fontId="9" fillId="10" borderId="65" xfId="3" applyFont="1" applyFill="1" applyBorder="1" applyAlignment="1">
      <alignment horizontal="center" vertical="center"/>
    </xf>
    <xf numFmtId="164" fontId="9" fillId="11" borderId="8" xfId="3" applyFont="1" applyFill="1" applyBorder="1" applyAlignment="1">
      <alignment horizontal="center" vertical="center"/>
    </xf>
    <xf numFmtId="164" fontId="9" fillId="11" borderId="64" xfId="3" applyFont="1" applyFill="1" applyBorder="1" applyAlignment="1">
      <alignment horizontal="center" vertical="center"/>
    </xf>
    <xf numFmtId="164" fontId="9" fillId="11" borderId="65" xfId="3" applyFont="1" applyFill="1" applyBorder="1" applyAlignment="1">
      <alignment horizontal="center" vertical="center"/>
    </xf>
    <xf numFmtId="0" fontId="3" fillId="8" borderId="74" xfId="0" applyFont="1" applyFill="1" applyBorder="1" applyAlignment="1">
      <alignment horizontal="center" vertical="center"/>
    </xf>
    <xf numFmtId="0" fontId="3" fillId="8" borderId="77" xfId="0" applyFont="1" applyFill="1" applyBorder="1" applyAlignment="1">
      <alignment horizontal="center" vertical="center"/>
    </xf>
    <xf numFmtId="0" fontId="6" fillId="8" borderId="0" xfId="0" quotePrefix="1" applyFont="1" applyFill="1" applyAlignment="1">
      <alignment horizontal="left"/>
    </xf>
    <xf numFmtId="0" fontId="10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7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5" fillId="17" borderId="0" xfId="0" applyFont="1" applyFill="1" applyAlignment="1">
      <alignment horizontal="left" vertical="top" wrapText="1"/>
    </xf>
    <xf numFmtId="0" fontId="3" fillId="8" borderId="0" xfId="0" quotePrefix="1" applyFont="1" applyFill="1" applyAlignment="1">
      <alignment horizontal="left"/>
    </xf>
    <xf numFmtId="0" fontId="3" fillId="8" borderId="0" xfId="0" applyFont="1" applyFill="1" applyAlignment="1">
      <alignment horizontal="left"/>
    </xf>
    <xf numFmtId="0" fontId="6" fillId="8" borderId="34" xfId="0" quotePrefix="1" applyFont="1" applyFill="1" applyBorder="1" applyAlignment="1">
      <alignment horizontal="left"/>
    </xf>
    <xf numFmtId="0" fontId="6" fillId="8" borderId="29" xfId="0" quotePrefix="1" applyFont="1" applyFill="1" applyBorder="1" applyAlignment="1">
      <alignment horizontal="left"/>
    </xf>
    <xf numFmtId="0" fontId="2" fillId="0" borderId="4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</cellXfs>
  <cellStyles count="5">
    <cellStyle name="Comma" xfId="3" builtinId="3"/>
    <cellStyle name="Hyperlink" xfId="4" builtinId="8"/>
    <cellStyle name="Normal" xfId="0" builtinId="0"/>
    <cellStyle name="Percent" xfId="1" builtinId="5"/>
    <cellStyle name="Standard 4" xfId="2" xr:uid="{00000000-0005-0000-0000-000004000000}"/>
  </cellStyles>
  <dxfs count="2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top style="thin">
          <color theme="1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.0%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6" formatCode="0.0%"/>
      <fill>
        <patternFill patternType="solid">
          <fgColor indexed="64"/>
          <bgColor theme="8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sz val="10"/>
        <name val="Arial"/>
        <scheme val="none"/>
      </font>
      <protection locked="0" hidden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sz val="10"/>
        <name val="Arial"/>
        <scheme val="none"/>
      </font>
      <protection locked="0" hidden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border outline="0">
        <left style="thin">
          <color theme="4" tint="0.3999755851924192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</dxf>
    <dxf>
      <font>
        <strike val="0"/>
        <outline val="0"/>
        <shadow val="0"/>
        <sz val="10"/>
        <name val="Arial"/>
        <scheme val="none"/>
      </font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7" formatCode="0\ &quot;km&quot;"/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7" formatCode="0\ &quot;km&quot;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sz val="10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textRotation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sz val="10"/>
        <name val="Arial"/>
        <scheme val="none"/>
      </font>
      <numFmt numFmtId="165" formatCode="0.000"/>
      <fill>
        <patternFill patternType="solid">
          <fgColor indexed="64"/>
          <bgColor theme="8" tint="0.59999389629810485"/>
        </patternFill>
      </fill>
      <alignment horizontal="center" textRotation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  <protection locked="0" hidden="0"/>
    </dxf>
    <dxf>
      <font>
        <strike val="0"/>
        <outline val="0"/>
        <shadow val="0"/>
        <sz val="10"/>
        <name val="Arial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alignment horizontal="right" vertical="bottom" textRotation="0" indent="1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numFmt numFmtId="1" formatCode="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  <vertical/>
        <horizontal/>
      </border>
      <protection locked="0" hidden="0"/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sz val="10"/>
        <name val="Arial"/>
        <scheme val="none"/>
      </font>
      <fill>
        <patternFill>
          <fgColor indexed="64"/>
          <bgColor theme="8" tint="0.59999389629810485"/>
        </patternFill>
      </fill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top style="thin">
          <color theme="1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border outline="0">
        <top style="thin">
          <color theme="8" tint="-0.249977111117893"/>
        </top>
      </border>
    </dxf>
    <dxf>
      <border outline="0"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65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border outline="0"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65" formatCode="0.00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theme="7" tint="0.59999389629810485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theme="7" tint="0.59999389629810485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numFmt numFmtId="4" formatCode="#,##0.0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border diagonalUp="0" diagonalDown="0" outline="0">
        <left/>
        <right/>
        <top style="thin">
          <color theme="8" tint="-0.249977111117893"/>
        </top>
        <bottom/>
      </border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solid">
          <fgColor indexed="64"/>
          <bgColor theme="8" tint="0.59999389629810485"/>
        </patternFill>
      </fill>
      <border outline="0">
        <right style="thin">
          <color theme="8" tint="-0.249977111117893"/>
        </right>
      </border>
      <protection locked="1" hidden="0"/>
    </dxf>
    <dxf>
      <border outline="0"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 outline="0">
        <bottom style="thin">
          <color theme="8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" formatCode="0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numFmt numFmtId="1" formatCode="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theme="7" tint="0.59999389629810485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rial"/>
        <scheme val="none"/>
      </font>
      <numFmt numFmtId="3" formatCode="#,##0"/>
      <fill>
        <patternFill patternType="lightDown">
          <fgColor theme="1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7" tint="0.59999389629810485"/>
          <bgColor theme="8" tint="0.59999389629810485"/>
        </patternFill>
      </fill>
      <border diagonalUp="0" diagonalDown="0" outline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</font>
    </dxf>
    <dxf>
      <border>
        <top style="thin">
          <color theme="8" tint="-0.249977111117893"/>
        </top>
      </border>
    </dxf>
    <dxf>
      <font>
        <strike val="0"/>
        <outline val="0"/>
        <shadow val="0"/>
        <u val="none"/>
        <sz val="10"/>
        <name val="Arial"/>
        <scheme val="none"/>
      </font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0" hidden="0"/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protection locked="0" hidden="0"/>
    </dxf>
    <dxf>
      <border>
        <bottom style="thin">
          <color theme="8" tint="-0.249977111117893"/>
        </bottom>
      </border>
    </dxf>
    <dxf>
      <font>
        <strike val="0"/>
        <outline val="0"/>
        <shadow val="0"/>
        <u val="none"/>
        <sz val="10"/>
        <name val="Arial"/>
        <scheme val="none"/>
      </font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2C446"/>
      <color rgb="FF9154D8"/>
      <color rgb="FF38B1FD"/>
      <color rgb="FF004F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\home\Users\terres\Seafile\CAFOGES%20und%20KLiOL\3%20-%20CAFOGES-Rohdaten\CaFoGes_20230419_mitRohDaten_Excel_2019v_Final_SchutzDeaktivieru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Ein-&amp;Anleitung"/>
      <sheetName val="Eckdaten"/>
      <sheetName val="Scope_1"/>
      <sheetName val="Scope_2"/>
      <sheetName val="Scope_3"/>
      <sheetName val="Ergebnisse"/>
      <sheetName val="EF"/>
      <sheetName val="Quell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N1" t="str">
            <v>Gebiet 0</v>
          </cell>
        </row>
        <row r="2">
          <cell r="N2" t="str">
            <v>Gebiet 1</v>
          </cell>
        </row>
        <row r="3">
          <cell r="N3" t="str">
            <v>Gebiet 2</v>
          </cell>
        </row>
        <row r="4">
          <cell r="N4" t="str">
            <v>Gebiet 3</v>
          </cell>
        </row>
        <row r="5">
          <cell r="N5" t="str">
            <v>Gebiet 4</v>
          </cell>
        </row>
        <row r="6">
          <cell r="N6" t="str">
            <v>Gebiet 5</v>
          </cell>
        </row>
        <row r="7">
          <cell r="N7" t="str">
            <v>Gebiet 6</v>
          </cell>
        </row>
        <row r="8">
          <cell r="N8" t="str">
            <v>Gebiet 7</v>
          </cell>
        </row>
        <row r="9">
          <cell r="N9" t="str">
            <v>Gebiet 8</v>
          </cell>
        </row>
        <row r="10">
          <cell r="N10" t="str">
            <v>Gebiet 9</v>
          </cell>
        </row>
      </sheetData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Hotel_stay_Scope_3" displayName="Hotel_stay_Scope_3" ref="B120:I175" totalsRowCount="1" headerRowDxfId="285" dataDxfId="283" totalsRowDxfId="281" headerRowBorderDxfId="284" tableBorderDxfId="282" totalsRowBorderDxfId="280">
  <tableColumns count="8">
    <tableColumn id="1" xr3:uid="{00000000-0010-0000-0000-000001000000}" name="Land" totalsRowLabel="Zwischenergebnis (Hotelübernachtung)" dataDxfId="279" totalsRowDxfId="278"/>
    <tableColumn id="2" xr3:uid="{00000000-0010-0000-0000-000002000000}" name="-" dataDxfId="277" totalsRowDxfId="276"/>
    <tableColumn id="3" xr3:uid="{00000000-0010-0000-0000-000003000000}" name="Anzahl der Übernachtungen" dataDxfId="275" totalsRowDxfId="274"/>
    <tableColumn id="4" xr3:uid="{00000000-0010-0000-0000-000004000000}" name="--" dataDxfId="273" totalsRowDxfId="272"/>
    <tableColumn id="6" xr3:uid="{00000000-0010-0000-0000-000006000000}" name="Emissionsfaktor _x000a_(kg CO2e / Nacht)" dataDxfId="271" totalsRowDxfId="270"/>
    <tableColumn id="5" xr3:uid="{00000000-0010-0000-0000-000005000000}" name="---" dataDxfId="269" totalsRowDxfId="268"/>
    <tableColumn id="7" xr3:uid="{00000000-0010-0000-0000-000007000000}" name="Ergebnis _x000a_(kg CO2e / Jahr)" totalsRowFunction="custom" dataDxfId="267" totalsRowDxfId="266">
      <calculatedColumnFormula>D121*F121</calculatedColumnFormula>
      <totalsRowFormula>SUM(H121:H174)</totalsRowFormula>
    </tableColumn>
    <tableColumn id="8" xr3:uid="{00000000-0010-0000-0000-000008000000}" name="Quelle: CAFOGES" dataDxfId="265" totalsRowDxfId="26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9000000}" name="pat_notf_heli" displayName="pat_notf_heli" ref="B20:J22" totalsRowCount="1" headerRowDxfId="120" dataDxfId="119" totalsRowDxfId="117" tableBorderDxfId="118">
  <autoFilter ref="B20:J21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900-000001000000}" name="Flugzeugtyp" totalsRowLabel="Summe (luftgebundene Notfallkontakte)" dataDxfId="116" totalsRowDxfId="115"/>
    <tableColumn id="2" xr3:uid="{00000000-0010-0000-0900-000002000000}" name="Erläuterung Flugzeugtyp" dataDxfId="114" totalsRowDxfId="113"/>
    <tableColumn id="3" xr3:uid="{00000000-0010-0000-0900-000003000000}" name="Anzahl (Notfallpatienten)" totalsRowFunction="sum" dataDxfId="112" totalsRowDxfId="111"/>
    <tableColumn id="4" xr3:uid="{00000000-0010-0000-0900-000004000000}" name="Annahme Entfernung pro Einsatz (= pro Patient:in) [km]" dataDxfId="110" totalsRowDxfId="109"/>
    <tableColumn id="5" xr3:uid="{00000000-0010-0000-0900-000005000000}" name="Gesamte Distanz _x000a_[Pkm / Jahr]" dataDxfId="108" totalsRowDxfId="107">
      <calculatedColumnFormula>E21*pat_notf_heli[[#This Row],[Anzahl (Notfallpatienten)]]</calculatedColumnFormula>
    </tableColumn>
    <tableColumn id="6" xr3:uid="{00000000-0010-0000-0900-000006000000}" name="Emissionsfaktor _x000a_[kg CO2e / Pkm]" dataDxfId="106" totalsRowDxfId="105"/>
    <tableColumn id="7" xr3:uid="{00000000-0010-0000-0900-000007000000}" name="Ergebnis _x000a_[kg CO2e / Jahr]" totalsRowFunction="sum" dataDxfId="104" totalsRowDxfId="103">
      <calculatedColumnFormula>pat_notf_heli[[#This Row],[Gesamte Distanz 
'[Pkm / Jahr']]]*pat_notf_heli[[#This Row],[Emissionsfaktor 
'[kg CO2e / Pkm']]]</calculatedColumnFormula>
    </tableColumn>
    <tableColumn id="8" xr3:uid="{00000000-0010-0000-0900-000008000000}" name="Annahmen zu Entfernungen und Verbräuchen" dataDxfId="102" totalsRowDxfId="101"/>
    <tableColumn id="9" xr3:uid="{00000000-0010-0000-0900-000009000000}" name="Quelle" dataDxfId="100" totalsRowDxfId="99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A000000}" name="Tabelle27" displayName="Tabelle27" ref="B27:M37" totalsRowShown="0" headerRowDxfId="98" dataDxfId="97">
  <autoFilter ref="B27:M37" xr:uid="{00000000-0009-0000-0100-00001B000000}"/>
  <tableColumns count="12">
    <tableColumn id="1" xr3:uid="{00000000-0010-0000-0A00-000001000000}" name="PLZ-Bereich" dataDxfId="96"/>
    <tableColumn id="2" xr3:uid="{00000000-0010-0000-0A00-000002000000}" name="Gebiet 0" dataDxfId="95"/>
    <tableColumn id="3" xr3:uid="{00000000-0010-0000-0A00-000003000000}" name="Gebiet 1" dataDxfId="94"/>
    <tableColumn id="4" xr3:uid="{00000000-0010-0000-0A00-000004000000}" name="Gebiet 2" dataDxfId="93"/>
    <tableColumn id="5" xr3:uid="{00000000-0010-0000-0A00-000005000000}" name="Gebiet 3" dataDxfId="92"/>
    <tableColumn id="6" xr3:uid="{00000000-0010-0000-0A00-000006000000}" name="Gebiet 4" dataDxfId="91"/>
    <tableColumn id="7" xr3:uid="{00000000-0010-0000-0A00-000007000000}" name="Gebiet 5" dataDxfId="90"/>
    <tableColumn id="8" xr3:uid="{00000000-0010-0000-0A00-000008000000}" name="Gebiet 6" dataDxfId="89"/>
    <tableColumn id="9" xr3:uid="{00000000-0010-0000-0A00-000009000000}" name="Gebiet 7" dataDxfId="88"/>
    <tableColumn id="10" xr3:uid="{00000000-0010-0000-0A00-00000A000000}" name="Gebiet 8" dataDxfId="87"/>
    <tableColumn id="11" xr3:uid="{00000000-0010-0000-0A00-00000B000000}" name="Gebiet 9" dataDxfId="86"/>
    <tableColumn id="12" xr3:uid="{00000000-0010-0000-0A00-00000C000000}" name="PLZ-Bereich: Zentrale Stadt" dataDxfId="85"/>
  </tableColumns>
  <tableStyleInfo name="TableStyleLight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B000000}" name="pat_inl_fahrten" displayName="pat_inl_fahrten" ref="B42:G53" totalsRowCount="1" headerRowDxfId="84" dataDxfId="82" totalsRowDxfId="80" headerRowBorderDxfId="83" tableBorderDxfId="81" totalsRowBorderDxfId="79">
  <tableColumns count="6">
    <tableColumn id="1" xr3:uid="{00000000-0010-0000-0B00-000001000000}" name="Postleitzahlbereich" totalsRowLabel="Summe" dataDxfId="78" totalsRowDxfId="77"/>
    <tableColumn id="6" xr3:uid="{00000000-0010-0000-0B00-000006000000}" name="-" dataDxfId="76" totalsRowDxfId="75"/>
    <tableColumn id="2" xr3:uid="{00000000-0010-0000-0B00-000002000000}" name="Anzahl der Besuche (ambulant &amp; stationär durch Patient:innen)" totalsRowFunction="sum" dataDxfId="74" totalsRowDxfId="73"/>
    <tableColumn id="3" xr3:uid="{00000000-0010-0000-0B00-000003000000}" name="Anteil [%]" totalsRowFunction="sum" dataDxfId="72" totalsRowDxfId="71">
      <calculatedColumnFormula>IFERROR(pat_inl_fahrten[[#This Row],[Anzahl der Besuche (ambulant &amp; stationär durch Patient:innen)]]/pat_inl_fahrten[[#Totals],[Anzahl der Besuche (ambulant &amp; stationär durch Patient:innen)]],"k.A.")</calculatedColumnFormula>
    </tableColumn>
    <tableColumn id="4" xr3:uid="{00000000-0010-0000-0B00-000004000000}" name="Angenommene Entfernung _x000a_One-way [km]" dataDxfId="70" totalsRowDxfId="69">
      <calculatedColumnFormula>INDEX(OFFSET(Tabelle27[PLZ-Bereich],0,MATCH(pat_inl_fahrten[[#This Row],[Postleitzahlbereich]],Tabelle27[PLZ-Bereich],0)),MATCH(D40,C27:L27,0))</calculatedColumnFormula>
    </tableColumn>
    <tableColumn id="5" xr3:uid="{00000000-0010-0000-0B00-000005000000}" name="Gesamtdistanzen Regelkontakte [Pkm]" totalsRowFunction="sum" dataDxfId="68" totalsRowDxfId="67">
      <calculatedColumnFormula>pat_inl_fahrten[[#This Row],[Anzahl der Besuche (ambulant &amp; stationär durch Patient:innen)]]*pat_inl_fahrten[[#This Row],[Angenommene Entfernung 
One-way '[km']]]*2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C000000}" name="Pat_ausl_ergeb" displayName="Pat_ausl_ergeb" ref="B120:J126" totalsRowCount="1" headerRowDxfId="66" dataDxfId="64" totalsRowDxfId="63" headerRowBorderDxfId="65">
  <autoFilter ref="B120:J125" xr:uid="{00000000-0009-0000-0100-00001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C00-000001000000}" name="Herkundskontinent" totalsRowLabel="Ergebnis" dataDxfId="62" totalsRowDxfId="61"/>
    <tableColumn id="2" xr3:uid="{00000000-0010-0000-0C00-000002000000}" name="Zielland" dataDxfId="60" totalsRowDxfId="59"/>
    <tableColumn id="3" xr3:uid="{00000000-0010-0000-0C00-000003000000}" name="Anzahl Flüge" totalsRowFunction="sum" dataDxfId="58" totalsRowDxfId="57">
      <calculatedColumnFormula>SUMIFS(Pat_ausl_Flüge[Anzahl der Besuche (ambulant &amp; stationär durch Patient:innen)],Pat_ausl_Flüge[Region (Zuordnung)],Pat_ausl_ergeb[[#This Row],[Zielland]])</calculatedColumnFormula>
    </tableColumn>
    <tableColumn id="4" xr3:uid="{00000000-0010-0000-0C00-000004000000}" name="Annahme Entfernung One-Way [km]" dataDxfId="56" totalsRowDxfId="55"/>
    <tableColumn id="5" xr3:uid="{00000000-0010-0000-0C00-000005000000}" name="Gesamte Distanz _x000a_[Pkm / Jahr]" dataDxfId="54" totalsRowDxfId="53">
      <calculatedColumnFormula>Pat_ausl_ergeb[[#This Row],[Anzahl Flüge]]*Pat_ausl_ergeb[[#This Row],[Annahme Entfernung One-Way '[km']]]*2</calculatedColumnFormula>
    </tableColumn>
    <tableColumn id="6" xr3:uid="{00000000-0010-0000-0C00-000006000000}" name="Emissionsfaktor _x000a_[kg CO2e / Pkm]" dataDxfId="52" totalsRowDxfId="51"/>
    <tableColumn id="7" xr3:uid="{00000000-0010-0000-0C00-000007000000}" name="Ergebnis _x000a_[kg CO2e / Jahr]" totalsRowFunction="sum" dataDxfId="50" totalsRowDxfId="49">
      <calculatedColumnFormula>Pat_ausl_ergeb[[#This Row],[Gesamte Distanz 
'[Pkm / Jahr']]]*Pat_ausl_ergeb[[#This Row],[Emissionsfaktor 
'[kg CO2e / Pkm']]]</calculatedColumnFormula>
    </tableColumn>
    <tableColumn id="8" xr3:uid="{00000000-0010-0000-0C00-000008000000}" name="Annahmen zu Entfernungen (CAFOGES)" dataDxfId="48" totalsRowDxfId="47"/>
    <tableColumn id="9" xr3:uid="{00000000-0010-0000-0C00-000009000000}" name="Quelle" dataDxfId="46" totalsRowDxfId="45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D000000}" name="Pat_ausl_Flüge" displayName="Pat_ausl_Flüge" ref="B63:E117" totalsRowShown="0" headerRowDxfId="44" dataDxfId="43">
  <autoFilter ref="B63:E117" xr:uid="{00000000-0009-0000-0100-00001E000000}"/>
  <tableColumns count="4">
    <tableColumn id="1" xr3:uid="{00000000-0010-0000-0D00-000001000000}" name="Land (Wohnsitz)" dataDxfId="42"/>
    <tableColumn id="4" xr3:uid="{00000000-0010-0000-0D00-000004000000}" name="Region (Zuordnung)" dataDxfId="41"/>
    <tableColumn id="3" xr3:uid="{00000000-0010-0000-0D00-000003000000}" name="Anzahl der Besuche (ambulant &amp; stationär durch Patient:innen)" dataDxfId="40"/>
    <tableColumn id="2" xr3:uid="{00000000-0010-0000-0D00-000002000000}" name="Zusatzinfo" dataDxfId="39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E000000}" name="pat_inl_ergeb" displayName="pat_inl_ergeb" ref="B56:J58" totalsRowCount="1" headerRowBorderDxfId="38" tableBorderDxfId="37">
  <autoFilter ref="B56:J5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E00-000001000000}" name="Verkehrsmittel" totalsRowLabel="Ergebnis" dataDxfId="36" totalsRowDxfId="35"/>
    <tableColumn id="2" xr3:uid="{00000000-0010-0000-0E00-000002000000}" name="-" dataDxfId="34" totalsRowDxfId="33"/>
    <tableColumn id="3" xr3:uid="{00000000-0010-0000-0E00-000003000000}" name="Distanzen Regelkontakte [km]" dataDxfId="32" totalsRowDxfId="31">
      <calculatedColumnFormula>pat_inl_fahrten[[#Totals],[Gesamtdistanzen Regelkontakte '[Pkm']]]</calculatedColumnFormula>
    </tableColumn>
    <tableColumn id="4" xr3:uid="{00000000-0010-0000-0E00-000004000000}" name="Emissionsfaktor PKW_x000a_[kg CO2e / km]" dataDxfId="30" totalsRowDxfId="29"/>
    <tableColumn id="5" xr3:uid="{00000000-0010-0000-0E00-000005000000}" name="--" dataDxfId="28" totalsRowDxfId="27"/>
    <tableColumn id="6" xr3:uid="{00000000-0010-0000-0E00-000006000000}" name="---" dataDxfId="26" totalsRowDxfId="25"/>
    <tableColumn id="7" xr3:uid="{00000000-0010-0000-0E00-000007000000}" name="Ergebnis _x000a_[kg CO2e / Jahr]" totalsRowFunction="sum" dataDxfId="24" totalsRowDxfId="23">
      <calculatedColumnFormula>D57*E57</calculatedColumnFormula>
    </tableColumn>
    <tableColumn id="8" xr3:uid="{00000000-0010-0000-0E00-000008000000}" name="Annahmen zu Entfernungen" dataDxfId="22" totalsRowDxfId="21"/>
    <tableColumn id="9" xr3:uid="{00000000-0010-0000-0E00-000009000000}" name="Quelle" dataDxfId="20" totalsRowDxfId="19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pat_mobi_gesamt" displayName="pat_mobi_gesamt" ref="B131:H135" totalsRowCount="1" headerRowDxfId="18" dataDxfId="16" headerRowBorderDxfId="17" tableBorderDxfId="15" totalsRowBorderDxfId="14">
  <autoFilter ref="B131:H134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F00-000001000000}" name="Bereich" totalsRowLabel="THG-Emissionen durch Patient*innen-Mobilität (gesamt)" dataDxfId="13" totalsRowDxfId="12"/>
    <tableColumn id="2" xr3:uid="{00000000-0010-0000-0F00-000002000000}" name="Beschreibung" dataDxfId="11" totalsRowDxfId="10"/>
    <tableColumn id="3" xr3:uid="{00000000-0010-0000-0F00-000003000000}" name="-" dataDxfId="9" totalsRowDxfId="8"/>
    <tableColumn id="4" xr3:uid="{00000000-0010-0000-0F00-000004000000}" name="--" dataDxfId="7" totalsRowDxfId="6"/>
    <tableColumn id="5" xr3:uid="{00000000-0010-0000-0F00-000005000000}" name="---" dataDxfId="5" totalsRowDxfId="4"/>
    <tableColumn id="6" xr3:uid="{00000000-0010-0000-0F00-000006000000}" name="----" dataDxfId="3" totalsRowDxfId="2"/>
    <tableColumn id="7" xr3:uid="{00000000-0010-0000-0F00-000007000000}" name="Ergebnis _x000a_[kg CO2e / Jahr]" totalsRowFunction="sum" dataDxfId="1" totalsRow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Landreisen_Scope3" displayName="Landreisen_Scope3" ref="B92:J96" totalsRowCount="1" headerRowDxfId="263" dataDxfId="261" totalsRowDxfId="259" headerRowBorderDxfId="262" tableBorderDxfId="260" totalsRowBorderDxfId="258">
  <tableColumns count="9">
    <tableColumn id="1" xr3:uid="{00000000-0010-0000-0100-000001000000}" name="Bahnreisen" totalsRowLabel="Summe (Bahnreisen)" dataDxfId="257" totalsRowDxfId="256"/>
    <tableColumn id="2" xr3:uid="{00000000-0010-0000-0100-000002000000}" name="Typ" dataDxfId="255" totalsRowDxfId="254"/>
    <tableColumn id="5" xr3:uid="{00000000-0010-0000-0100-000005000000}" name="Anzahl Reisen" totalsRowFunction="sum" dataDxfId="253" totalsRowDxfId="252"/>
    <tableColumn id="4" xr3:uid="{00000000-0010-0000-0100-000004000000}" name="Annahme Entfernung _x000a_(km / Jahr)" totalsRowFunction="custom" dataDxfId="251" totalsRowDxfId="250">
      <totalsRowFormula>SUBTOTAL(109,Landreisen_Scope3[Typ])</totalsRowFormula>
    </tableColumn>
    <tableColumn id="3" xr3:uid="{00000000-0010-0000-0100-000003000000}" name="Hin- &amp; Rückfahrt (km / Jahr)" totalsRowFunction="custom" dataDxfId="249" totalsRowDxfId="248">
      <calculatedColumnFormula>E93*2</calculatedColumnFormula>
      <totalsRowFormula>SUM(Landreisen_Scope3[Anzahl Reisen])</totalsRowFormula>
    </tableColumn>
    <tableColumn id="6" xr3:uid="{00000000-0010-0000-0100-000006000000}" name="Emissionsfaktor _x000a_(kg CO2e / Pkm) " dataDxfId="247" totalsRowDxfId="246"/>
    <tableColumn id="7" xr3:uid="{00000000-0010-0000-0100-000007000000}" name="Ergebnis _x000a_(kg CO2e / Jahr)" totalsRowFunction="sum" dataDxfId="245" totalsRowDxfId="244">
      <calculatedColumnFormula>Landreisen_Scope3[[#This Row],[Anzahl Reisen]]*Landreisen_Scope3[[#This Row],[Hin- &amp; Rückfahrt (km / Jahr)]]*Landreisen_Scope3[[#This Row],[Emissionsfaktor 
(kg CO2e / Pkm) ]]</calculatedColumnFormula>
    </tableColumn>
    <tableColumn id="8" xr3:uid="{00000000-0010-0000-0100-000008000000}" name="Annahmen zu Entfernungen (CAFOGES)" dataDxfId="243" totalsRowDxfId="242"/>
    <tableColumn id="9" xr3:uid="{00000000-0010-0000-0100-000009000000}" name="Quelle" dataDxfId="241" totalsRowDxfId="2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Flugreisen_Scop33" displayName="Flugreisen_Scop33" ref="B80:J87" totalsRowCount="1" headerRowDxfId="239" dataDxfId="237" totalsRowDxfId="235" headerRowBorderDxfId="238" tableBorderDxfId="236" totalsRowBorderDxfId="234">
  <tableColumns count="9">
    <tableColumn id="1" xr3:uid="{00000000-0010-0000-0200-000001000000}" name="Flugreisen" totalsRowLabel="Summe (Flugreisen)" dataDxfId="233" totalsRowDxfId="232"/>
    <tableColumn id="8" xr3:uid="{00000000-0010-0000-0200-000008000000}" name="Zielland" dataDxfId="231" totalsRowDxfId="230"/>
    <tableColumn id="2" xr3:uid="{00000000-0010-0000-0200-000002000000}" name="Anzahl Flüge" totalsRowFunction="sum" dataDxfId="229" totalsRowDxfId="228">
      <calculatedColumnFormula>SUMIFS(Tabelle37[Anzahl Flüge],Tabelle37[Region (Zuordnung)],Flugreisen_Scop33[[#This Row],[Zielland]])</calculatedColumnFormula>
    </tableColumn>
    <tableColumn id="6" xr3:uid="{00000000-0010-0000-0200-000006000000}" name="Annahme Entfernung _x000a_(km / Jahr)" dataDxfId="227" totalsRowDxfId="226"/>
    <tableColumn id="5" xr3:uid="{00000000-0010-0000-0200-000005000000}" name="Hin- &amp; Rückflug (km / Jahr)" totalsRowFunction="custom" dataDxfId="225" totalsRowDxfId="224">
      <calculatedColumnFormula>D81*Flugreisen_Scop33[[#This Row],[Annahme Entfernung 
(km / Jahr)]]*2</calculatedColumnFormula>
      <totalsRowFormula>SUM(Flugreisen_Scop33[Hin- &amp; Rückflug (km / Jahr)])</totalsRowFormula>
    </tableColumn>
    <tableColumn id="3" xr3:uid="{00000000-0010-0000-0200-000003000000}" name="Emissionsfaktor _x000a_(kg CO2e / Pkm) " dataDxfId="223" totalsRowDxfId="222"/>
    <tableColumn id="4" xr3:uid="{00000000-0010-0000-0200-000004000000}" name="Ergebnis _x000a_(kg CO2e / Jahr)" totalsRowFunction="sum" dataDxfId="221" totalsRowDxfId="220">
      <calculatedColumnFormula>+F81*G81</calculatedColumnFormula>
    </tableColumn>
    <tableColumn id="7" xr3:uid="{00000000-0010-0000-0200-000007000000}" name="Annahmen zu Entfernungen (CAFOGES)" dataDxfId="219" totalsRowDxfId="218"/>
    <tableColumn id="9" xr3:uid="{00000000-0010-0000-0200-000009000000}" name="Quelle" dataDxfId="217" totalsRowDxfId="2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elle37" displayName="Tabelle37" ref="B20:E75" totalsRowShown="0">
  <autoFilter ref="B20:E75" xr:uid="{00000000-0009-0000-0100-000006000000}"/>
  <tableColumns count="4">
    <tableColumn id="1" xr3:uid="{00000000-0010-0000-0300-000001000000}" name="Zielland"/>
    <tableColumn id="4" xr3:uid="{00000000-0010-0000-0300-000004000000}" name="Region (Zuordnung)"/>
    <tableColumn id="3" xr3:uid="{00000000-0010-0000-0300-000003000000}" name="Anzahl Flüge"/>
    <tableColumn id="2" xr3:uid="{00000000-0010-0000-0300-000002000000}" name="Beschreibung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elle7" displayName="Tabelle7" ref="B108:J112" totalsRowCount="1" headerRowDxfId="215" headerRowBorderDxfId="214" tableBorderDxfId="213" totalsRowBorderDxfId="212">
  <autoFilter ref="B108:J111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400-000001000000}" name="Landreisen" totalsRowLabel="Zwischenergebnis (Mobilität)" totalsRowDxfId="211"/>
    <tableColumn id="2" xr3:uid="{00000000-0010-0000-0400-000002000000}" name="-" dataDxfId="210" totalsRowDxfId="209"/>
    <tableColumn id="3" xr3:uid="{00000000-0010-0000-0400-000003000000}" name="Anzahl" dataDxfId="208" totalsRowDxfId="207"/>
    <tableColumn id="4" xr3:uid="{00000000-0010-0000-0400-000004000000}" name="Einheit" totalsRowDxfId="206"/>
    <tableColumn id="5" xr3:uid="{00000000-0010-0000-0400-000005000000}" name="--" dataDxfId="205" totalsRowDxfId="204"/>
    <tableColumn id="6" xr3:uid="{00000000-0010-0000-0400-000006000000}" name="---" dataDxfId="203" totalsRowDxfId="202"/>
    <tableColumn id="7" xr3:uid="{00000000-0010-0000-0400-000007000000}" name="Ergebnis _x000a_(kg CO2e / Jahr)" totalsRowFunction="sum" dataDxfId="201" totalsRowDxfId="200"/>
    <tableColumn id="8" xr3:uid="{00000000-0010-0000-0400-000008000000}" name="Annahmen zu Entfernungen" dataDxfId="199" totalsRowDxfId="198"/>
    <tableColumn id="9" xr3:uid="{00000000-0010-0000-0400-000009000000}" name="Quelle" dataDxfId="197" totalsRowDxfId="19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le8" displayName="Tabelle8" ref="B101:J103" totalsRowCount="1" headerRowDxfId="195" headerRowBorderDxfId="194" tableBorderDxfId="193">
  <autoFilter ref="B101:J102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500-000001000000}" name="Landreisen" totalsRowLabel="Summe (Privat-PWK)" totalsRowDxfId="192"/>
    <tableColumn id="2" xr3:uid="{00000000-0010-0000-0500-000002000000}" name="Typ" totalsRowDxfId="191"/>
    <tableColumn id="3" xr3:uid="{00000000-0010-0000-0500-000003000000}" name="Gefahrene Kilometer" totalsRowDxfId="190"/>
    <tableColumn id="4" xr3:uid="{00000000-0010-0000-0500-000004000000}" name="Annahme Entfernung _x000a_(km / Jahr)" dataDxfId="189" totalsRowDxfId="188"/>
    <tableColumn id="5" xr3:uid="{00000000-0010-0000-0500-000005000000}" name="Hin- &amp; Rückfahrt (km / Jahr)" dataDxfId="187" totalsRowDxfId="186"/>
    <tableColumn id="6" xr3:uid="{00000000-0010-0000-0500-000006000000}" name="Emissionsfaktor _x000a_(kg CO2e / Pkm) " totalsRowDxfId="185"/>
    <tableColumn id="7" xr3:uid="{00000000-0010-0000-0500-000007000000}" name="Ergebnis _x000a_(kg CO2e / Jahr)" totalsRowFunction="sum" dataDxfId="184" totalsRowDxfId="183">
      <calculatedColumnFormula>Tabelle8[Gefahrene Kilometer]*Tabelle8[Emissionsfaktor 
(kg CO2e / Pkm) ]</calculatedColumnFormula>
    </tableColumn>
    <tableColumn id="8" xr3:uid="{00000000-0010-0000-0500-000008000000}" name="Annahmen zu Entfernungen" totalsRowDxfId="182"/>
    <tableColumn id="9" xr3:uid="{00000000-0010-0000-0500-000009000000}" name="Quelle" totalsRowDxfId="18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Geschäftsreisen_Gesamt" displayName="Geschäftsreisen_Gesamt" ref="B182:H187" totalsRowCount="1" headerRowDxfId="180" dataDxfId="178" headerRowBorderDxfId="179" tableBorderDxfId="177" totalsRowBorderDxfId="176">
  <autoFilter ref="B182:H18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600-000001000000}" name="Bereich" totalsRowLabel="THG-Emissionen durch Geschäftsreisen (gesamt)" dataDxfId="175" totalsRowDxfId="174"/>
    <tableColumn id="2" xr3:uid="{00000000-0010-0000-0600-000002000000}" name="Beschreibung" dataDxfId="173" totalsRowDxfId="172"/>
    <tableColumn id="3" xr3:uid="{00000000-0010-0000-0600-000003000000}" name="-" dataDxfId="171" totalsRowDxfId="170"/>
    <tableColumn id="4" xr3:uid="{00000000-0010-0000-0600-000004000000}" name="--" dataDxfId="169" totalsRowDxfId="168"/>
    <tableColumn id="5" xr3:uid="{00000000-0010-0000-0600-000005000000}" name="---" dataDxfId="167" totalsRowDxfId="166"/>
    <tableColumn id="6" xr3:uid="{00000000-0010-0000-0600-000006000000}" name="----" dataDxfId="165" totalsRowDxfId="164"/>
    <tableColumn id="7" xr3:uid="{00000000-0010-0000-0600-000007000000}" name="Ergebnis _x000a_[kg CO2e / Jahr]" totalsRowFunction="sum" dataDxfId="163" totalsRowDxfId="16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7000000}" name="MA_mobi_gesamt" displayName="MA_mobi_gesamt" ref="B68:F72" totalsRowCount="1" headerRowDxfId="160" dataDxfId="158" headerRowBorderDxfId="159" tableBorderDxfId="157" totalsRowBorderDxfId="156">
  <tableColumns count="5">
    <tableColumn id="5" xr3:uid="{00000000-0010-0000-0700-000005000000}" name="Verkehrmittel" totalsRowLabel="Summe (Mitarbeitendenmobilität)" dataDxfId="155" totalsRowDxfId="154"/>
    <tableColumn id="1" xr3:uid="{00000000-0010-0000-0700-000001000000}" name="-" dataDxfId="153" totalsRowDxfId="152"/>
    <tableColumn id="2" xr3:uid="{00000000-0010-0000-0700-000002000000}" name="Gesamte Entfernung _x000a_(Hin-&amp; Zurück): Pkm / Jahr" totalsRowFunction="sum" dataDxfId="151" totalsRowDxfId="150">
      <calculatedColumnFormula>+G52</calculatedColumnFormula>
    </tableColumn>
    <tableColumn id="3" xr3:uid="{00000000-0010-0000-0700-000003000000}" name="Emissionsfaktor _x000a_(kg CO2e / Pkm )" dataDxfId="149" totalsRowDxfId="148"/>
    <tableColumn id="4" xr3:uid="{00000000-0010-0000-0700-000004000000}" name="Ergebnis _x000a_(kg CO2e / Jahr)" totalsRowFunction="sum" dataDxfId="147" totalsRowDxfId="146">
      <calculatedColumnFormula>IFERROR(MA_mobi_gesamt[[#This Row],[Gesamte Entfernung 
(Hin-&amp; Zurück): Pkm / Jahr]]*MA_mobi_gesamt[[#This Row],[Emissionsfaktor 
(kg CO2e / Pkm )]]/1000,"k.A.")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Pendelverkehr" displayName="Pendelverkehr" ref="B38:K46" totalsRowCount="1" headerRowDxfId="145" dataDxfId="143" headerRowBorderDxfId="144" tableBorderDxfId="142" totalsRowBorderDxfId="141">
  <autoFilter ref="B38:K4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1" xr3:uid="{00000000-0010-0000-0800-000001000000}" name="Entfernung Wohnort" totalsRowLabel="Ergebnis" dataDxfId="140" totalsRowDxfId="139"/>
    <tableColumn id="2" xr3:uid="{00000000-0010-0000-0800-000002000000}" name="Mitarbeitendenmobilität" dataDxfId="138" totalsRowDxfId="137"/>
    <tableColumn id="3" xr3:uid="{00000000-0010-0000-0800-000003000000}" name="Aufteilung in (%) der Mitarbeiter*innen" totalsRowFunction="sum" dataDxfId="136" totalsRowDxfId="135"/>
    <tableColumn id="4" xr3:uid="{00000000-0010-0000-0800-000004000000}" name="Angenomme Entfernung _x000a_(One-way) " totalsRowLabel="=&gt; hier sollten 100% stehen!" dataDxfId="134" totalsRowDxfId="133"/>
    <tableColumn id="5" xr3:uid="{00000000-0010-0000-0800-000005000000}" name="-" dataDxfId="132" totalsRowDxfId="131"/>
    <tableColumn id="6" xr3:uid="{00000000-0010-0000-0800-000006000000}" name="Zufußgehen %" dataDxfId="130" totalsRowDxfId="129"/>
    <tableColumn id="7" xr3:uid="{00000000-0010-0000-0800-000007000000}" name="Fahrrad %" dataDxfId="128" totalsRowDxfId="127"/>
    <tableColumn id="8" xr3:uid="{00000000-0010-0000-0800-000008000000}" name="E-Bike %" dataDxfId="126" totalsRowDxfId="125"/>
    <tableColumn id="9" xr3:uid="{00000000-0010-0000-0800-000009000000}" name="ÖPNV %" dataDxfId="124" totalsRowDxfId="123"/>
    <tableColumn id="10" xr3:uid="{00000000-0010-0000-0800-00000A000000}" name="Pkw %" dataDxfId="122" totalsRowDxfId="12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zoomScaleNormal="100" workbookViewId="0">
      <selection activeCell="B33" sqref="B33:G33"/>
    </sheetView>
  </sheetViews>
  <sheetFormatPr defaultColWidth="11.42578125" defaultRowHeight="12.75" x14ac:dyDescent="0.2"/>
  <cols>
    <col min="1" max="1" width="3.7109375" style="50" customWidth="1"/>
    <col min="2" max="2" width="10.42578125" style="50" bestFit="1" customWidth="1"/>
    <col min="3" max="3" width="32.42578125" style="50" bestFit="1" customWidth="1"/>
    <col min="4" max="4" width="25.7109375" style="50" bestFit="1" customWidth="1"/>
    <col min="5" max="5" width="16.85546875" style="50" bestFit="1" customWidth="1"/>
    <col min="6" max="6" width="21" style="106" customWidth="1"/>
    <col min="7" max="7" width="18.28515625" style="106" customWidth="1"/>
    <col min="8" max="8" width="53" style="50" customWidth="1"/>
    <col min="9" max="9" width="3.7109375" style="50" customWidth="1"/>
    <col min="10" max="10" width="5.7109375" style="50" customWidth="1"/>
    <col min="11" max="16384" width="11.42578125" style="50"/>
  </cols>
  <sheetData>
    <row r="1" spans="1:10" ht="12.75" customHeight="1" thickBot="1" x14ac:dyDescent="0.25"/>
    <row r="2" spans="1:10" ht="12.75" customHeight="1" thickBot="1" x14ac:dyDescent="0.25">
      <c r="A2" s="300" t="s">
        <v>279</v>
      </c>
      <c r="B2" s="301"/>
      <c r="C2" s="301"/>
      <c r="D2" s="301"/>
      <c r="E2" s="301"/>
      <c r="F2" s="301"/>
      <c r="G2" s="301"/>
      <c r="H2" s="301"/>
      <c r="I2" s="301"/>
      <c r="J2" s="302"/>
    </row>
    <row r="3" spans="1:10" ht="12.75" customHeight="1" thickBot="1" x14ac:dyDescent="0.25">
      <c r="A3" s="49"/>
      <c r="B3" s="303" t="s">
        <v>232</v>
      </c>
      <c r="C3" s="303"/>
      <c r="D3" s="303"/>
      <c r="E3" s="303"/>
      <c r="F3" s="303"/>
      <c r="G3" s="303"/>
      <c r="H3" s="303"/>
      <c r="J3" s="189"/>
    </row>
    <row r="4" spans="1:10" ht="12.75" customHeight="1" x14ac:dyDescent="0.2">
      <c r="A4" s="49"/>
      <c r="B4" s="294" t="s">
        <v>291</v>
      </c>
      <c r="C4" s="295"/>
      <c r="D4" s="295"/>
      <c r="E4" s="295"/>
      <c r="F4" s="295"/>
      <c r="G4" s="295"/>
      <c r="H4" s="296"/>
      <c r="J4" s="189"/>
    </row>
    <row r="5" spans="1:10" ht="12.75" customHeight="1" x14ac:dyDescent="0.2">
      <c r="A5" s="49"/>
      <c r="B5" s="297"/>
      <c r="C5" s="298"/>
      <c r="D5" s="298"/>
      <c r="E5" s="298"/>
      <c r="F5" s="298"/>
      <c r="G5" s="298"/>
      <c r="H5" s="299"/>
      <c r="J5" s="189"/>
    </row>
    <row r="6" spans="1:10" ht="12.75" customHeight="1" x14ac:dyDescent="0.2">
      <c r="A6" s="49"/>
      <c r="B6" s="297"/>
      <c r="C6" s="298"/>
      <c r="D6" s="298"/>
      <c r="E6" s="298"/>
      <c r="F6" s="298"/>
      <c r="G6" s="298"/>
      <c r="H6" s="299"/>
      <c r="J6" s="189"/>
    </row>
    <row r="7" spans="1:10" ht="12.75" customHeight="1" x14ac:dyDescent="0.2">
      <c r="A7" s="49"/>
      <c r="B7" s="193"/>
      <c r="C7" s="304" t="s">
        <v>289</v>
      </c>
      <c r="D7" s="304"/>
      <c r="F7" s="4" t="s">
        <v>119</v>
      </c>
      <c r="G7" s="4" t="s">
        <v>144</v>
      </c>
      <c r="H7" s="51"/>
      <c r="J7" s="189"/>
    </row>
    <row r="8" spans="1:10" ht="12.75" customHeight="1" x14ac:dyDescent="0.2">
      <c r="A8" s="49"/>
      <c r="B8" s="193"/>
      <c r="C8" s="11"/>
      <c r="D8" s="25" t="s">
        <v>121</v>
      </c>
      <c r="F8" s="305" t="s">
        <v>122</v>
      </c>
      <c r="G8" s="307" t="s">
        <v>122</v>
      </c>
      <c r="H8" s="51"/>
      <c r="J8" s="189"/>
    </row>
    <row r="9" spans="1:10" ht="12.75" customHeight="1" x14ac:dyDescent="0.2">
      <c r="A9" s="49"/>
      <c r="B9" s="193"/>
      <c r="C9" s="12"/>
      <c r="D9" s="26" t="s">
        <v>123</v>
      </c>
      <c r="F9" s="305"/>
      <c r="G9" s="307"/>
      <c r="H9" s="51"/>
      <c r="J9" s="189"/>
    </row>
    <row r="10" spans="1:10" ht="12.75" customHeight="1" x14ac:dyDescent="0.2">
      <c r="A10" s="49"/>
      <c r="B10" s="193"/>
      <c r="C10" s="13"/>
      <c r="D10" s="27" t="s">
        <v>124</v>
      </c>
      <c r="F10" s="305"/>
      <c r="G10" s="307"/>
      <c r="H10" s="51"/>
      <c r="J10" s="189"/>
    </row>
    <row r="11" spans="1:10" ht="12.75" customHeight="1" x14ac:dyDescent="0.2">
      <c r="A11" s="49"/>
      <c r="B11" s="193"/>
      <c r="C11" s="309" t="s">
        <v>133</v>
      </c>
      <c r="D11" s="309"/>
      <c r="F11" s="305"/>
      <c r="G11" s="307"/>
      <c r="H11" s="51"/>
      <c r="J11" s="189"/>
    </row>
    <row r="12" spans="1:10" ht="12.75" customHeight="1" thickBot="1" x14ac:dyDescent="0.25">
      <c r="A12" s="49"/>
      <c r="B12" s="194"/>
      <c r="C12" s="52"/>
      <c r="D12" s="5"/>
      <c r="E12" s="52"/>
      <c r="F12" s="306"/>
      <c r="G12" s="308"/>
      <c r="H12" s="118" t="s">
        <v>135</v>
      </c>
      <c r="J12" s="189"/>
    </row>
    <row r="13" spans="1:10" ht="12.75" customHeight="1" x14ac:dyDescent="0.2">
      <c r="A13" s="49"/>
      <c r="F13" s="50"/>
      <c r="G13" s="50"/>
      <c r="J13" s="189"/>
    </row>
    <row r="14" spans="1:10" ht="12.75" customHeight="1" x14ac:dyDescent="0.2">
      <c r="A14" s="49"/>
      <c r="F14" s="50"/>
      <c r="G14" s="50"/>
      <c r="J14" s="189"/>
    </row>
    <row r="15" spans="1:10" ht="5.0999999999999996" customHeight="1" thickBot="1" x14ac:dyDescent="0.25">
      <c r="A15" s="49"/>
      <c r="F15" s="53"/>
      <c r="G15" s="53"/>
      <c r="J15" s="189"/>
    </row>
    <row r="16" spans="1:10" ht="13.5" thickBot="1" x14ac:dyDescent="0.25">
      <c r="A16" s="49"/>
      <c r="B16" s="310" t="s">
        <v>289</v>
      </c>
      <c r="C16" s="311"/>
      <c r="D16" s="311"/>
      <c r="E16" s="311"/>
      <c r="F16" s="311"/>
      <c r="G16" s="311"/>
      <c r="H16" s="312"/>
      <c r="J16" s="189"/>
    </row>
    <row r="17" spans="1:10" ht="13.5" thickBot="1" x14ac:dyDescent="0.25">
      <c r="A17" s="49"/>
      <c r="B17" s="310" t="s">
        <v>125</v>
      </c>
      <c r="C17" s="311"/>
      <c r="D17" s="311"/>
      <c r="E17" s="312"/>
      <c r="F17" s="310" t="s">
        <v>140</v>
      </c>
      <c r="G17" s="311"/>
      <c r="H17" s="312"/>
      <c r="J17" s="189"/>
    </row>
    <row r="18" spans="1:10" x14ac:dyDescent="0.2">
      <c r="A18" s="49"/>
      <c r="B18" s="313" t="s">
        <v>126</v>
      </c>
      <c r="C18" s="315" t="s">
        <v>127</v>
      </c>
      <c r="D18" s="315" t="s">
        <v>142</v>
      </c>
      <c r="E18" s="285" t="s">
        <v>293</v>
      </c>
      <c r="F18" s="287" t="s">
        <v>128</v>
      </c>
      <c r="G18" s="288"/>
      <c r="H18" s="292" t="s">
        <v>241</v>
      </c>
      <c r="J18" s="189"/>
    </row>
    <row r="19" spans="1:10" ht="13.5" thickBot="1" x14ac:dyDescent="0.25">
      <c r="A19" s="49"/>
      <c r="B19" s="314"/>
      <c r="C19" s="316"/>
      <c r="D19" s="316"/>
      <c r="E19" s="286"/>
      <c r="F19" s="32" t="s">
        <v>141</v>
      </c>
      <c r="G19" s="33" t="s">
        <v>288</v>
      </c>
      <c r="H19" s="293"/>
      <c r="J19" s="189"/>
    </row>
    <row r="20" spans="1:10" x14ac:dyDescent="0.2">
      <c r="A20" s="49"/>
      <c r="B20" s="195">
        <v>240</v>
      </c>
      <c r="C20" s="14" t="s">
        <v>213</v>
      </c>
      <c r="D20" s="196">
        <v>1.454</v>
      </c>
      <c r="E20" s="261">
        <f>B20*D20/1000</f>
        <v>0.34895999999999999</v>
      </c>
      <c r="F20" s="197"/>
      <c r="G20" s="28">
        <f>E20*F20</f>
        <v>0</v>
      </c>
      <c r="H20" s="342" t="s">
        <v>134</v>
      </c>
      <c r="J20" s="189"/>
    </row>
    <row r="21" spans="1:10" x14ac:dyDescent="0.2">
      <c r="A21" s="49"/>
      <c r="B21" s="198">
        <v>250</v>
      </c>
      <c r="C21" s="15" t="s">
        <v>214</v>
      </c>
      <c r="D21" s="199">
        <v>1.504</v>
      </c>
      <c r="E21" s="262">
        <f>B21*D21/1000</f>
        <v>0.376</v>
      </c>
      <c r="F21" s="200"/>
      <c r="G21" s="29">
        <f>E21*F21</f>
        <v>0</v>
      </c>
      <c r="H21" s="342" t="s">
        <v>134</v>
      </c>
      <c r="J21" s="189"/>
    </row>
    <row r="22" spans="1:10" ht="13.5" thickBot="1" x14ac:dyDescent="0.25">
      <c r="A22" s="49"/>
      <c r="B22" s="201">
        <v>250</v>
      </c>
      <c r="C22" s="16" t="s">
        <v>215</v>
      </c>
      <c r="D22" s="202">
        <v>1.5329999999999999</v>
      </c>
      <c r="E22" s="263">
        <f>B22*D22/1000</f>
        <v>0.38324999999999998</v>
      </c>
      <c r="F22" s="203"/>
      <c r="G22" s="30">
        <f>E22*F22</f>
        <v>0</v>
      </c>
      <c r="H22" s="343" t="s">
        <v>134</v>
      </c>
      <c r="J22" s="189"/>
    </row>
    <row r="23" spans="1:10" x14ac:dyDescent="0.2">
      <c r="D23" s="8"/>
      <c r="F23" s="4"/>
      <c r="G23" s="4"/>
      <c r="H23" s="100"/>
      <c r="J23" s="189"/>
    </row>
    <row r="24" spans="1:10" ht="5.0999999999999996" customHeight="1" thickBot="1" x14ac:dyDescent="0.25">
      <c r="A24" s="49"/>
      <c r="F24" s="53"/>
      <c r="G24" s="53"/>
      <c r="J24" s="189"/>
    </row>
    <row r="25" spans="1:10" ht="13.5" thickBot="1" x14ac:dyDescent="0.25">
      <c r="A25" s="49"/>
      <c r="B25" s="289" t="s">
        <v>130</v>
      </c>
      <c r="C25" s="290"/>
      <c r="D25" s="290"/>
      <c r="E25" s="290"/>
      <c r="F25" s="290"/>
      <c r="G25" s="290"/>
      <c r="H25" s="291"/>
      <c r="J25" s="189"/>
    </row>
    <row r="26" spans="1:10" ht="13.5" thickBot="1" x14ac:dyDescent="0.25">
      <c r="A26" s="49"/>
      <c r="B26" s="289" t="s">
        <v>125</v>
      </c>
      <c r="C26" s="290"/>
      <c r="D26" s="290"/>
      <c r="E26" s="290"/>
      <c r="F26" s="289" t="s">
        <v>140</v>
      </c>
      <c r="G26" s="290"/>
      <c r="H26" s="291"/>
      <c r="J26" s="189"/>
    </row>
    <row r="27" spans="1:10" ht="13.5" customHeight="1" x14ac:dyDescent="0.2">
      <c r="A27" s="49"/>
      <c r="B27" s="276" t="s">
        <v>131</v>
      </c>
      <c r="C27" s="278" t="s">
        <v>127</v>
      </c>
      <c r="D27" s="280"/>
      <c r="E27" s="281" t="s">
        <v>286</v>
      </c>
      <c r="F27" s="283" t="s">
        <v>128</v>
      </c>
      <c r="G27" s="284"/>
      <c r="H27" s="274" t="s">
        <v>292</v>
      </c>
      <c r="J27" s="189"/>
    </row>
    <row r="28" spans="1:10" ht="26.25" thickBot="1" x14ac:dyDescent="0.25">
      <c r="A28" s="49"/>
      <c r="B28" s="277"/>
      <c r="C28" s="279"/>
      <c r="D28" s="279"/>
      <c r="E28" s="282"/>
      <c r="F28" s="9" t="s">
        <v>129</v>
      </c>
      <c r="G28" s="10" t="s">
        <v>287</v>
      </c>
      <c r="H28" s="275"/>
      <c r="J28" s="189"/>
    </row>
    <row r="29" spans="1:10" ht="15.75" customHeight="1" thickBot="1" x14ac:dyDescent="0.25">
      <c r="A29" s="49"/>
      <c r="B29" s="344" t="s">
        <v>280</v>
      </c>
      <c r="C29" s="345"/>
      <c r="D29" s="345"/>
      <c r="E29" s="345"/>
      <c r="F29" s="345"/>
      <c r="G29" s="346"/>
      <c r="H29" s="250" t="s">
        <v>240</v>
      </c>
      <c r="J29" s="189"/>
    </row>
    <row r="30" spans="1:10" x14ac:dyDescent="0.2">
      <c r="A30" s="49"/>
      <c r="B30" s="49">
        <v>2</v>
      </c>
      <c r="C30" s="237" t="s">
        <v>282</v>
      </c>
      <c r="D30" s="259"/>
      <c r="E30" s="251">
        <v>0.51744000000000012</v>
      </c>
      <c r="F30" s="197"/>
      <c r="G30" s="6">
        <f t="shared" ref="G30:G44" si="0">E30*F30</f>
        <v>0</v>
      </c>
      <c r="H30" s="207"/>
      <c r="J30" s="189"/>
    </row>
    <row r="31" spans="1:10" x14ac:dyDescent="0.2">
      <c r="A31" s="49"/>
      <c r="B31" s="49">
        <v>5</v>
      </c>
      <c r="C31" s="50" t="s">
        <v>282</v>
      </c>
      <c r="D31" s="2"/>
      <c r="E31" s="251">
        <v>1.2936000000000001</v>
      </c>
      <c r="F31" s="200"/>
      <c r="G31" s="6">
        <f t="shared" si="0"/>
        <v>0</v>
      </c>
      <c r="H31" s="207"/>
      <c r="J31" s="189"/>
    </row>
    <row r="32" spans="1:10" ht="13.5" thickBot="1" x14ac:dyDescent="0.25">
      <c r="A32" s="49"/>
      <c r="B32" s="49">
        <v>10</v>
      </c>
      <c r="C32" s="237" t="s">
        <v>282</v>
      </c>
      <c r="D32" s="260"/>
      <c r="E32" s="251">
        <v>2.5872000000000002</v>
      </c>
      <c r="F32" s="255"/>
      <c r="G32" s="256">
        <f t="shared" si="0"/>
        <v>0</v>
      </c>
      <c r="H32" s="207"/>
      <c r="J32" s="189"/>
    </row>
    <row r="33" spans="1:10" ht="27" customHeight="1" thickBot="1" x14ac:dyDescent="0.25">
      <c r="A33" s="49"/>
      <c r="B33" s="347" t="s">
        <v>290</v>
      </c>
      <c r="C33" s="348"/>
      <c r="D33" s="348"/>
      <c r="E33" s="348"/>
      <c r="F33" s="348"/>
      <c r="G33" s="349"/>
      <c r="H33" s="207" t="s">
        <v>284</v>
      </c>
      <c r="J33" s="189"/>
    </row>
    <row r="34" spans="1:10" x14ac:dyDescent="0.2">
      <c r="A34" s="49"/>
      <c r="B34" s="49">
        <v>1</v>
      </c>
      <c r="C34" s="237" t="s">
        <v>281</v>
      </c>
      <c r="D34" s="259"/>
      <c r="E34" s="189">
        <v>0.75</v>
      </c>
      <c r="F34" s="197"/>
      <c r="G34" s="249">
        <f t="shared" si="0"/>
        <v>0</v>
      </c>
      <c r="H34" s="207"/>
      <c r="J34" s="189"/>
    </row>
    <row r="35" spans="1:10" x14ac:dyDescent="0.2">
      <c r="A35" s="49"/>
      <c r="B35" s="49">
        <v>2</v>
      </c>
      <c r="C35" s="50" t="s">
        <v>283</v>
      </c>
      <c r="D35" s="2"/>
      <c r="E35" s="189">
        <v>1.5</v>
      </c>
      <c r="F35" s="7"/>
      <c r="G35" s="6">
        <f t="shared" si="0"/>
        <v>0</v>
      </c>
      <c r="H35" s="206"/>
      <c r="J35" s="189"/>
    </row>
    <row r="36" spans="1:10" x14ac:dyDescent="0.2">
      <c r="A36" s="49"/>
      <c r="B36" s="49">
        <v>3</v>
      </c>
      <c r="C36" s="50" t="s">
        <v>283</v>
      </c>
      <c r="D36" s="2"/>
      <c r="E36" s="189">
        <v>2.25</v>
      </c>
      <c r="F36" s="200"/>
      <c r="G36" s="6">
        <f t="shared" si="0"/>
        <v>0</v>
      </c>
      <c r="H36" s="206"/>
      <c r="J36" s="189"/>
    </row>
    <row r="37" spans="1:10" x14ac:dyDescent="0.2">
      <c r="A37" s="49"/>
      <c r="B37" s="49">
        <v>5</v>
      </c>
      <c r="C37" s="50" t="s">
        <v>283</v>
      </c>
      <c r="D37" s="2"/>
      <c r="E37" s="189">
        <v>3.75</v>
      </c>
      <c r="F37" s="200"/>
      <c r="G37" s="6">
        <f t="shared" si="0"/>
        <v>0</v>
      </c>
      <c r="H37" s="206"/>
      <c r="J37" s="189"/>
    </row>
    <row r="38" spans="1:10" x14ac:dyDescent="0.2">
      <c r="A38" s="49"/>
      <c r="B38" s="49">
        <v>10</v>
      </c>
      <c r="C38" s="50" t="s">
        <v>283</v>
      </c>
      <c r="D38" s="2"/>
      <c r="E38" s="189">
        <v>7.5</v>
      </c>
      <c r="F38" s="7"/>
      <c r="G38" s="6">
        <f t="shared" si="0"/>
        <v>0</v>
      </c>
      <c r="H38" s="206"/>
      <c r="J38" s="189"/>
    </row>
    <row r="39" spans="1:10" x14ac:dyDescent="0.2">
      <c r="A39" s="49"/>
      <c r="B39" s="49">
        <v>20</v>
      </c>
      <c r="C39" s="50" t="s">
        <v>283</v>
      </c>
      <c r="D39" s="2"/>
      <c r="E39" s="189">
        <v>15</v>
      </c>
      <c r="F39" s="200"/>
      <c r="G39" s="6">
        <f t="shared" si="0"/>
        <v>0</v>
      </c>
      <c r="H39" s="206"/>
      <c r="J39" s="189"/>
    </row>
    <row r="40" spans="1:10" x14ac:dyDescent="0.2">
      <c r="A40" s="49"/>
      <c r="B40" s="49">
        <v>40</v>
      </c>
      <c r="C40" s="50" t="s">
        <v>283</v>
      </c>
      <c r="D40" s="2"/>
      <c r="E40" s="189">
        <v>30</v>
      </c>
      <c r="F40" s="200"/>
      <c r="G40" s="6">
        <f t="shared" si="0"/>
        <v>0</v>
      </c>
      <c r="H40" s="206"/>
      <c r="J40" s="189"/>
    </row>
    <row r="41" spans="1:10" x14ac:dyDescent="0.2">
      <c r="A41" s="49"/>
      <c r="B41" s="49">
        <v>50</v>
      </c>
      <c r="C41" s="50" t="s">
        <v>283</v>
      </c>
      <c r="D41" s="2"/>
      <c r="E41" s="189">
        <v>37.5</v>
      </c>
      <c r="F41" s="200"/>
      <c r="G41" s="6">
        <f t="shared" si="0"/>
        <v>0</v>
      </c>
      <c r="H41" s="206"/>
      <c r="J41" s="189"/>
    </row>
    <row r="42" spans="1:10" x14ac:dyDescent="0.2">
      <c r="A42" s="49"/>
      <c r="B42" s="49">
        <v>300</v>
      </c>
      <c r="C42" s="50" t="s">
        <v>283</v>
      </c>
      <c r="D42" s="2"/>
      <c r="E42" s="189">
        <v>225</v>
      </c>
      <c r="F42" s="200"/>
      <c r="G42" s="6">
        <f t="shared" si="0"/>
        <v>0</v>
      </c>
      <c r="H42" s="206"/>
      <c r="J42" s="189"/>
    </row>
    <row r="43" spans="1:10" x14ac:dyDescent="0.2">
      <c r="A43" s="49"/>
      <c r="B43" s="257" t="s">
        <v>285</v>
      </c>
      <c r="C43" s="50" t="s">
        <v>283</v>
      </c>
      <c r="D43" s="2"/>
      <c r="E43" s="189">
        <v>450</v>
      </c>
      <c r="F43" s="255"/>
      <c r="G43" s="256">
        <f t="shared" si="0"/>
        <v>0</v>
      </c>
      <c r="H43" s="206"/>
      <c r="J43" s="189"/>
    </row>
    <row r="44" spans="1:10" ht="13.5" thickBot="1" x14ac:dyDescent="0.25">
      <c r="A44" s="49"/>
      <c r="B44" s="258" t="s">
        <v>278</v>
      </c>
      <c r="C44" s="204" t="s">
        <v>283</v>
      </c>
      <c r="D44" s="2"/>
      <c r="E44" s="267">
        <v>450</v>
      </c>
      <c r="F44" s="255"/>
      <c r="G44" s="256">
        <f t="shared" si="0"/>
        <v>0</v>
      </c>
      <c r="H44" s="206"/>
      <c r="J44" s="189"/>
    </row>
    <row r="45" spans="1:10" ht="13.5" thickBot="1" x14ac:dyDescent="0.25">
      <c r="A45" s="207"/>
      <c r="B45" s="190"/>
      <c r="C45" s="191"/>
      <c r="D45" s="191"/>
      <c r="E45" s="191"/>
      <c r="F45" s="264" t="s">
        <v>132</v>
      </c>
      <c r="G45" s="265">
        <f>SUM(G29:G44)</f>
        <v>0</v>
      </c>
      <c r="H45" s="266" t="s">
        <v>135</v>
      </c>
      <c r="I45" s="191"/>
      <c r="J45" s="192"/>
    </row>
  </sheetData>
  <sheetProtection algorithmName="SHA-512" hashValue="h+xKRlq37E6v0YG0mR3WyQMMfxlsISbpRiVbhj55WF4NdZitJ52bnBDpsKSMA5svg03kg4ijNO4X7XV429/5tQ==" saltValue="K92JEZo9fWBMVgDjy3f/LA==" spinCount="100000" sheet="1" objects="1" scenarios="1"/>
  <protectedRanges>
    <protectedRange sqref="F20:F22" name="Bereich1"/>
    <protectedRange sqref="F30:F32 F34:F44" name="Bereich2"/>
  </protectedRanges>
  <mergeCells count="27">
    <mergeCell ref="B33:G33"/>
    <mergeCell ref="B29:G29"/>
    <mergeCell ref="H18:H19"/>
    <mergeCell ref="B4:H6"/>
    <mergeCell ref="A2:J2"/>
    <mergeCell ref="B3:H3"/>
    <mergeCell ref="C7:D7"/>
    <mergeCell ref="F8:F12"/>
    <mergeCell ref="G8:G12"/>
    <mergeCell ref="C11:D11"/>
    <mergeCell ref="B16:H16"/>
    <mergeCell ref="B17:E17"/>
    <mergeCell ref="F17:H17"/>
    <mergeCell ref="B18:B19"/>
    <mergeCell ref="C18:C19"/>
    <mergeCell ref="D18:D19"/>
    <mergeCell ref="E18:E19"/>
    <mergeCell ref="F18:G18"/>
    <mergeCell ref="B25:H25"/>
    <mergeCell ref="B26:E26"/>
    <mergeCell ref="F26:H26"/>
    <mergeCell ref="H27:H28"/>
    <mergeCell ref="B27:B28"/>
    <mergeCell ref="C27:C28"/>
    <mergeCell ref="D27:D28"/>
    <mergeCell ref="E27:E28"/>
    <mergeCell ref="F27:G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7"/>
  <sheetViews>
    <sheetView topLeftCell="C52" zoomScale="91" zoomScaleNormal="68" workbookViewId="0">
      <selection activeCell="G100" sqref="G100"/>
    </sheetView>
  </sheetViews>
  <sheetFormatPr defaultColWidth="11.42578125" defaultRowHeight="12.75" x14ac:dyDescent="0.2"/>
  <cols>
    <col min="1" max="1" width="11.42578125" style="50"/>
    <col min="2" max="2" width="46.28515625" style="50" customWidth="1"/>
    <col min="3" max="3" width="21.85546875" style="50" customWidth="1"/>
    <col min="4" max="4" width="32.42578125" style="50" bestFit="1" customWidth="1"/>
    <col min="5" max="5" width="21.42578125" style="101" customWidth="1"/>
    <col min="6" max="6" width="27.85546875" style="101" customWidth="1"/>
    <col min="7" max="7" width="18.42578125" style="50" bestFit="1" customWidth="1"/>
    <col min="8" max="8" width="38.85546875" style="50" bestFit="1" customWidth="1"/>
    <col min="9" max="9" width="36.85546875" style="50" bestFit="1" customWidth="1"/>
    <col min="10" max="10" width="11.42578125" style="50"/>
    <col min="11" max="11" width="31.85546875" style="50" customWidth="1"/>
    <col min="12" max="16" width="11.42578125" style="50"/>
    <col min="17" max="17" width="51.42578125" style="50" customWidth="1"/>
    <col min="18" max="16384" width="11.42578125" style="50"/>
  </cols>
  <sheetData>
    <row r="1" spans="1:20" ht="12.75" customHeight="1" thickBot="1" x14ac:dyDescent="0.25">
      <c r="E1" s="50"/>
      <c r="F1" s="50"/>
      <c r="G1" s="106"/>
      <c r="H1" s="106"/>
      <c r="L1" s="106"/>
      <c r="M1" s="106"/>
    </row>
    <row r="2" spans="1:20" ht="12.75" customHeight="1" thickBot="1" x14ac:dyDescent="0.25">
      <c r="A2" s="107"/>
      <c r="B2" s="301" t="s">
        <v>279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108"/>
      <c r="N2" s="109"/>
    </row>
    <row r="3" spans="1:20" ht="12.75" customHeight="1" thickBot="1" x14ac:dyDescent="0.25">
      <c r="A3" s="49"/>
      <c r="B3" s="318" t="s">
        <v>226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20" ht="12.75" customHeight="1" x14ac:dyDescent="0.2">
      <c r="B4" s="319" t="s">
        <v>147</v>
      </c>
      <c r="C4" s="320"/>
      <c r="D4" s="320"/>
      <c r="E4" s="320"/>
      <c r="F4" s="320"/>
      <c r="G4" s="320"/>
      <c r="H4" s="320"/>
      <c r="I4" s="320"/>
      <c r="J4" s="320"/>
      <c r="K4" s="320"/>
      <c r="L4" s="321"/>
      <c r="P4" s="100"/>
      <c r="Q4" s="100"/>
      <c r="R4" s="100"/>
      <c r="S4" s="100"/>
      <c r="T4" s="100"/>
    </row>
    <row r="5" spans="1:20" ht="12.75" customHeight="1" x14ac:dyDescent="0.2">
      <c r="B5" s="322"/>
      <c r="C5" s="323"/>
      <c r="D5" s="323"/>
      <c r="E5" s="323"/>
      <c r="F5" s="323"/>
      <c r="G5" s="323"/>
      <c r="H5" s="323"/>
      <c r="I5" s="323"/>
      <c r="J5" s="323"/>
      <c r="K5" s="323"/>
      <c r="L5" s="324"/>
      <c r="P5" s="100"/>
      <c r="Q5" s="100"/>
      <c r="R5" s="100"/>
      <c r="S5" s="100"/>
      <c r="T5" s="100"/>
    </row>
    <row r="6" spans="1:20" ht="12.75" customHeight="1" x14ac:dyDescent="0.2">
      <c r="B6" s="322"/>
      <c r="C6" s="323"/>
      <c r="D6" s="323"/>
      <c r="E6" s="323"/>
      <c r="F6" s="323"/>
      <c r="G6" s="323"/>
      <c r="H6" s="323"/>
      <c r="I6" s="323"/>
      <c r="J6" s="323"/>
      <c r="K6" s="323"/>
      <c r="L6" s="324"/>
      <c r="P6" s="100"/>
      <c r="Q6" s="100"/>
      <c r="R6" s="100"/>
      <c r="S6" s="100"/>
      <c r="T6" s="100"/>
    </row>
    <row r="7" spans="1:20" s="55" customFormat="1" ht="12.75" customHeight="1" x14ac:dyDescent="0.2">
      <c r="B7" s="54" t="s">
        <v>137</v>
      </c>
      <c r="D7" s="22" t="s">
        <v>119</v>
      </c>
      <c r="E7" s="22"/>
      <c r="H7" s="22" t="s">
        <v>120</v>
      </c>
      <c r="I7" s="55" t="s">
        <v>181</v>
      </c>
      <c r="K7" s="56"/>
      <c r="L7" s="23"/>
      <c r="P7" s="100"/>
      <c r="Q7" s="100"/>
      <c r="R7" s="100"/>
      <c r="S7" s="100"/>
      <c r="T7" s="100"/>
    </row>
    <row r="8" spans="1:20" ht="12.75" customHeight="1" x14ac:dyDescent="0.2">
      <c r="B8" s="110"/>
      <c r="C8" s="38"/>
      <c r="D8" s="325" t="s">
        <v>122</v>
      </c>
      <c r="E8" s="40"/>
      <c r="F8" s="41"/>
      <c r="G8" s="41"/>
      <c r="H8" s="328" t="s">
        <v>122</v>
      </c>
      <c r="I8" s="331" t="s">
        <v>135</v>
      </c>
      <c r="K8" s="53"/>
      <c r="L8" s="111"/>
      <c r="P8" s="100"/>
      <c r="Q8" s="100"/>
      <c r="R8" s="100"/>
      <c r="S8" s="100"/>
      <c r="T8" s="100"/>
    </row>
    <row r="9" spans="1:20" ht="12.75" customHeight="1" x14ac:dyDescent="0.2">
      <c r="B9" s="110"/>
      <c r="C9" s="38"/>
      <c r="D9" s="326"/>
      <c r="E9" s="40"/>
      <c r="F9" s="41"/>
      <c r="G9" s="41"/>
      <c r="H9" s="329"/>
      <c r="I9" s="331"/>
      <c r="K9" s="53"/>
      <c r="L9" s="111"/>
      <c r="P9" s="100"/>
      <c r="Q9" s="100"/>
      <c r="R9" s="100"/>
      <c r="S9" s="100"/>
      <c r="T9" s="100"/>
    </row>
    <row r="10" spans="1:20" ht="12.75" customHeight="1" x14ac:dyDescent="0.2">
      <c r="B10" s="110"/>
      <c r="C10" s="38"/>
      <c r="D10" s="326"/>
      <c r="E10" s="40"/>
      <c r="F10" s="41"/>
      <c r="G10" s="41"/>
      <c r="H10" s="329"/>
      <c r="I10" s="331"/>
      <c r="K10" s="53"/>
      <c r="L10" s="111"/>
      <c r="P10" s="100"/>
      <c r="Q10" s="100"/>
      <c r="R10" s="100"/>
      <c r="S10" s="100"/>
      <c r="T10" s="100"/>
    </row>
    <row r="11" spans="1:20" ht="12.75" customHeight="1" x14ac:dyDescent="0.2">
      <c r="B11" s="110"/>
      <c r="C11" s="38"/>
      <c r="D11" s="326"/>
      <c r="E11" s="40"/>
      <c r="F11" s="41"/>
      <c r="G11" s="41"/>
      <c r="H11" s="329"/>
      <c r="I11" s="331"/>
      <c r="K11" s="53"/>
      <c r="L11" s="111"/>
      <c r="P11" s="100"/>
      <c r="Q11" s="100"/>
      <c r="R11" s="100"/>
      <c r="S11" s="100"/>
      <c r="T11" s="100"/>
    </row>
    <row r="12" spans="1:20" ht="12.75" customHeight="1" thickBot="1" x14ac:dyDescent="0.25">
      <c r="B12" s="112"/>
      <c r="C12" s="113"/>
      <c r="D12" s="327"/>
      <c r="E12" s="114"/>
      <c r="F12" s="115"/>
      <c r="G12" s="115"/>
      <c r="H12" s="330"/>
      <c r="I12" s="332"/>
      <c r="J12" s="52"/>
      <c r="K12" s="116"/>
      <c r="L12" s="117"/>
      <c r="P12" s="100"/>
      <c r="Q12" s="100"/>
      <c r="R12" s="100"/>
      <c r="S12" s="100"/>
      <c r="T12" s="100"/>
    </row>
    <row r="13" spans="1:20" ht="12.75" customHeight="1" x14ac:dyDescent="0.2">
      <c r="E13" s="50"/>
      <c r="F13" s="50"/>
      <c r="P13" s="100"/>
      <c r="Q13" s="100"/>
      <c r="R13" s="100"/>
      <c r="S13" s="100"/>
      <c r="T13" s="100"/>
    </row>
    <row r="14" spans="1:20" ht="12.75" customHeight="1" x14ac:dyDescent="0.2">
      <c r="E14" s="50"/>
      <c r="F14" s="50"/>
      <c r="P14" s="100"/>
      <c r="Q14" s="100"/>
      <c r="R14" s="100"/>
      <c r="S14" s="100"/>
      <c r="T14" s="100"/>
    </row>
    <row r="15" spans="1:20" s="19" customFormat="1" ht="5.0999999999999996" customHeight="1" thickBot="1" x14ac:dyDescent="0.25">
      <c r="E15" s="20"/>
      <c r="F15" s="20"/>
    </row>
    <row r="16" spans="1:20" customFormat="1" ht="15.75" customHeight="1" thickBot="1" x14ac:dyDescent="0.3">
      <c r="A16" s="310" t="s">
        <v>300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2"/>
    </row>
    <row r="17" spans="1:15" customFormat="1" ht="15.75" customHeight="1" x14ac:dyDescent="0.25">
      <c r="A17" s="19"/>
      <c r="B17" s="19"/>
      <c r="C17" s="19"/>
      <c r="D17" s="19"/>
      <c r="E17" s="20"/>
      <c r="F17" s="20"/>
      <c r="G17" s="19"/>
      <c r="H17" s="19"/>
      <c r="I17" s="19"/>
      <c r="J17" s="19"/>
      <c r="K17" s="19"/>
      <c r="L17" s="19"/>
      <c r="M17" s="19"/>
    </row>
    <row r="18" spans="1:15" x14ac:dyDescent="0.2">
      <c r="A18" s="58" t="s">
        <v>235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5" customFormat="1" ht="15.75" customHeight="1" x14ac:dyDescent="0.25">
      <c r="A19" s="19"/>
      <c r="B19" s="19"/>
      <c r="C19" s="19"/>
      <c r="D19" s="19"/>
      <c r="E19" s="20"/>
      <c r="F19" s="20"/>
      <c r="G19" s="19"/>
      <c r="H19" s="19"/>
      <c r="I19" s="19"/>
      <c r="J19" s="19"/>
      <c r="K19" s="19"/>
      <c r="L19" s="19"/>
      <c r="M19" s="19"/>
    </row>
    <row r="20" spans="1:15" customFormat="1" ht="15.75" customHeight="1" x14ac:dyDescent="0.25">
      <c r="A20" s="19"/>
      <c r="B20" s="34" t="s">
        <v>160</v>
      </c>
      <c r="C20" s="34" t="s">
        <v>163</v>
      </c>
      <c r="D20" s="35" t="s">
        <v>145</v>
      </c>
      <c r="E20" s="35" t="s">
        <v>175</v>
      </c>
      <c r="F20" s="19"/>
      <c r="G20" s="20"/>
      <c r="H20" s="20"/>
      <c r="I20" s="19"/>
      <c r="J20" s="19"/>
      <c r="K20" s="19"/>
      <c r="L20" s="19"/>
      <c r="M20" s="19"/>
      <c r="N20" s="19"/>
      <c r="O20" s="19"/>
    </row>
    <row r="21" spans="1:15" customFormat="1" ht="15.75" customHeight="1" x14ac:dyDescent="0.25">
      <c r="A21" s="19"/>
      <c r="B21" s="38" t="s">
        <v>55</v>
      </c>
      <c r="C21" s="38" t="s">
        <v>35</v>
      </c>
      <c r="D21" s="39"/>
      <c r="E21" s="40"/>
      <c r="F21" s="19"/>
      <c r="G21" s="20"/>
      <c r="H21" s="20"/>
      <c r="I21" s="19"/>
      <c r="J21" s="19"/>
      <c r="K21" s="19"/>
      <c r="L21" s="19"/>
      <c r="M21" s="19"/>
      <c r="N21" s="19"/>
      <c r="O21" s="19"/>
    </row>
    <row r="22" spans="1:15" customFormat="1" ht="15.75" customHeight="1" x14ac:dyDescent="0.25">
      <c r="A22" s="19"/>
      <c r="B22" s="38" t="s">
        <v>56</v>
      </c>
      <c r="C22" s="38" t="s">
        <v>36</v>
      </c>
      <c r="D22" s="39"/>
      <c r="E22" s="40"/>
      <c r="F22" s="19"/>
      <c r="G22" s="20"/>
      <c r="H22" s="20"/>
      <c r="I22" s="19"/>
      <c r="J22" s="19"/>
      <c r="K22" s="19"/>
      <c r="L22" s="19"/>
      <c r="M22" s="19"/>
      <c r="N22" s="19"/>
      <c r="O22" s="19"/>
    </row>
    <row r="23" spans="1:15" customFormat="1" ht="15.75" customHeight="1" x14ac:dyDescent="0.25">
      <c r="A23" s="19"/>
      <c r="B23" s="38" t="s">
        <v>57</v>
      </c>
      <c r="C23" s="38" t="s">
        <v>38</v>
      </c>
      <c r="D23" s="39"/>
      <c r="E23" s="40"/>
      <c r="F23" s="19"/>
      <c r="G23" s="20"/>
      <c r="H23" s="20"/>
      <c r="I23" s="19"/>
      <c r="J23" s="19"/>
      <c r="K23" s="19"/>
      <c r="L23" s="19"/>
      <c r="M23" s="19"/>
      <c r="N23" s="19"/>
      <c r="O23" s="19"/>
    </row>
    <row r="24" spans="1:15" customFormat="1" ht="15.75" customHeight="1" x14ac:dyDescent="0.25">
      <c r="A24" s="19"/>
      <c r="B24" s="38" t="s">
        <v>58</v>
      </c>
      <c r="C24" s="38" t="s">
        <v>36</v>
      </c>
      <c r="D24" s="39"/>
      <c r="E24" s="40"/>
      <c r="F24" s="19"/>
      <c r="G24" s="20"/>
      <c r="H24" s="20"/>
      <c r="I24" s="19"/>
      <c r="J24" s="19"/>
      <c r="K24" s="19"/>
      <c r="L24" s="19"/>
      <c r="M24" s="19"/>
      <c r="N24" s="19"/>
      <c r="O24" s="19"/>
    </row>
    <row r="25" spans="1:15" customFormat="1" ht="15.75" customHeight="1" x14ac:dyDescent="0.25">
      <c r="A25" s="19"/>
      <c r="B25" s="38" t="s">
        <v>59</v>
      </c>
      <c r="C25" s="38" t="s">
        <v>37</v>
      </c>
      <c r="D25" s="39"/>
      <c r="E25" s="40"/>
      <c r="F25" s="19"/>
      <c r="G25" s="20"/>
      <c r="H25" s="20"/>
      <c r="I25" s="19"/>
      <c r="J25" s="19"/>
      <c r="K25" s="19"/>
      <c r="L25" s="19"/>
      <c r="M25" s="19"/>
      <c r="N25" s="19"/>
      <c r="O25" s="19"/>
    </row>
    <row r="26" spans="1:15" customFormat="1" ht="15.75" customHeight="1" x14ac:dyDescent="0.25">
      <c r="A26" s="19"/>
      <c r="B26" s="38" t="s">
        <v>60</v>
      </c>
      <c r="C26" s="38" t="s">
        <v>35</v>
      </c>
      <c r="D26" s="39"/>
      <c r="E26" s="40"/>
      <c r="F26" s="19"/>
      <c r="G26" s="20"/>
      <c r="H26" s="20"/>
      <c r="I26" s="19"/>
      <c r="J26" s="19"/>
      <c r="K26" s="19"/>
      <c r="L26" s="19"/>
      <c r="M26" s="19"/>
      <c r="N26" s="19"/>
      <c r="O26" s="19"/>
    </row>
    <row r="27" spans="1:15" customFormat="1" ht="15.75" customHeight="1" x14ac:dyDescent="0.25">
      <c r="A27" s="19"/>
      <c r="B27" s="38" t="s">
        <v>61</v>
      </c>
      <c r="C27" s="38" t="s">
        <v>36</v>
      </c>
      <c r="D27" s="39"/>
      <c r="E27" s="40"/>
      <c r="F27" s="19"/>
      <c r="G27" s="20"/>
      <c r="H27" s="20"/>
      <c r="I27" s="19"/>
      <c r="J27" s="19"/>
      <c r="K27" s="19"/>
      <c r="L27" s="19"/>
      <c r="M27" s="19"/>
      <c r="N27" s="19"/>
      <c r="O27" s="19"/>
    </row>
    <row r="28" spans="1:15" customFormat="1" ht="15.75" customHeight="1" x14ac:dyDescent="0.25">
      <c r="A28" s="19"/>
      <c r="B28" s="38" t="s">
        <v>63</v>
      </c>
      <c r="C28" s="38" t="s">
        <v>37</v>
      </c>
      <c r="D28" s="39"/>
      <c r="E28" s="40"/>
      <c r="F28" s="19"/>
      <c r="G28" s="20"/>
      <c r="H28" s="20"/>
      <c r="I28" s="19"/>
      <c r="J28" s="19"/>
      <c r="K28" s="19"/>
      <c r="L28" s="19"/>
      <c r="M28" s="19"/>
      <c r="N28" s="19"/>
      <c r="O28" s="19"/>
    </row>
    <row r="29" spans="1:15" customFormat="1" ht="15.75" customHeight="1" x14ac:dyDescent="0.25">
      <c r="A29" s="19"/>
      <c r="B29" s="38" t="s">
        <v>64</v>
      </c>
      <c r="C29" s="38" t="s">
        <v>64</v>
      </c>
      <c r="D29" s="39"/>
      <c r="E29" s="40"/>
      <c r="F29" s="19"/>
      <c r="G29" s="20"/>
      <c r="H29" s="20"/>
      <c r="I29" s="19"/>
      <c r="J29" s="19"/>
      <c r="K29" s="19"/>
      <c r="L29" s="19"/>
      <c r="M29" s="19"/>
      <c r="N29" s="19"/>
      <c r="O29" s="19"/>
    </row>
    <row r="30" spans="1:15" customFormat="1" ht="15.75" customHeight="1" x14ac:dyDescent="0.25">
      <c r="A30" s="19"/>
      <c r="B30" s="38" t="s">
        <v>65</v>
      </c>
      <c r="C30" s="38" t="s">
        <v>37</v>
      </c>
      <c r="D30" s="39"/>
      <c r="E30" s="40"/>
      <c r="F30" s="19"/>
      <c r="G30" s="20"/>
      <c r="H30" s="20"/>
      <c r="I30" s="19"/>
      <c r="J30" s="19"/>
      <c r="K30" s="19"/>
      <c r="L30" s="19"/>
      <c r="M30" s="19"/>
      <c r="N30" s="19"/>
      <c r="O30" s="19"/>
    </row>
    <row r="31" spans="1:15" customFormat="1" ht="15.75" customHeight="1" x14ac:dyDescent="0.25">
      <c r="A31" s="19"/>
      <c r="B31" s="38" t="s">
        <v>66</v>
      </c>
      <c r="C31" s="38" t="s">
        <v>37</v>
      </c>
      <c r="D31" s="39"/>
      <c r="E31" s="40"/>
      <c r="F31" s="19"/>
      <c r="G31" s="20"/>
      <c r="H31" s="20"/>
      <c r="I31" s="19"/>
      <c r="J31" s="19"/>
      <c r="K31" s="19"/>
      <c r="L31" s="19"/>
      <c r="M31" s="19"/>
      <c r="N31" s="19"/>
      <c r="O31" s="19"/>
    </row>
    <row r="32" spans="1:15" customFormat="1" ht="15.75" customHeight="1" x14ac:dyDescent="0.25">
      <c r="A32" s="19"/>
      <c r="B32" s="38" t="s">
        <v>67</v>
      </c>
      <c r="C32" s="38" t="s">
        <v>37</v>
      </c>
      <c r="D32" s="39"/>
      <c r="E32" s="40"/>
      <c r="F32" s="19"/>
      <c r="G32" s="20"/>
      <c r="H32" s="20"/>
      <c r="I32" s="19"/>
      <c r="J32" s="19"/>
      <c r="K32" s="19"/>
      <c r="L32" s="19"/>
      <c r="M32" s="19"/>
      <c r="N32" s="19"/>
      <c r="O32" s="19"/>
    </row>
    <row r="33" spans="1:15" customFormat="1" ht="15.75" customHeight="1" x14ac:dyDescent="0.25">
      <c r="A33" s="19"/>
      <c r="B33" s="38" t="s">
        <v>68</v>
      </c>
      <c r="C33" s="38" t="s">
        <v>36</v>
      </c>
      <c r="D33" s="39"/>
      <c r="E33" s="40"/>
      <c r="F33" s="19"/>
      <c r="G33" s="20"/>
      <c r="H33" s="20"/>
      <c r="I33" s="19"/>
      <c r="J33" s="19"/>
      <c r="K33" s="19"/>
      <c r="L33" s="19"/>
      <c r="M33" s="19"/>
      <c r="N33" s="19"/>
      <c r="O33" s="19"/>
    </row>
    <row r="34" spans="1:15" customFormat="1" ht="15.75" customHeight="1" x14ac:dyDescent="0.25">
      <c r="A34" s="19"/>
      <c r="B34" s="38" t="s">
        <v>69</v>
      </c>
      <c r="C34" s="38" t="s">
        <v>37</v>
      </c>
      <c r="D34" s="39"/>
      <c r="E34" s="40"/>
      <c r="F34" s="19"/>
      <c r="G34" s="20"/>
      <c r="H34" s="20"/>
      <c r="I34" s="19"/>
      <c r="J34" s="19"/>
      <c r="K34" s="19"/>
      <c r="L34" s="19"/>
      <c r="M34" s="19"/>
      <c r="N34" s="19"/>
      <c r="O34" s="19"/>
    </row>
    <row r="35" spans="1:15" customFormat="1" ht="15.75" customHeight="1" x14ac:dyDescent="0.25">
      <c r="A35" s="19"/>
      <c r="B35" s="38" t="s">
        <v>70</v>
      </c>
      <c r="C35" s="38" t="s">
        <v>36</v>
      </c>
      <c r="D35" s="39"/>
      <c r="E35" s="40"/>
      <c r="F35" s="19"/>
      <c r="G35" s="20"/>
      <c r="H35" s="20"/>
      <c r="I35" s="19"/>
      <c r="J35" s="19"/>
      <c r="K35" s="19"/>
      <c r="L35" s="19"/>
      <c r="M35" s="19"/>
      <c r="N35" s="19"/>
      <c r="O35" s="19"/>
    </row>
    <row r="36" spans="1:15" customFormat="1" ht="15.75" customHeight="1" x14ac:dyDescent="0.25">
      <c r="A36" s="19"/>
      <c r="B36" s="38" t="s">
        <v>71</v>
      </c>
      <c r="C36" s="38" t="s">
        <v>37</v>
      </c>
      <c r="D36" s="39"/>
      <c r="E36" s="40"/>
      <c r="F36" s="19"/>
      <c r="G36" s="20"/>
      <c r="H36" s="20"/>
      <c r="I36" s="19"/>
      <c r="J36" s="19"/>
      <c r="K36" s="19"/>
      <c r="L36" s="19"/>
      <c r="M36" s="19"/>
      <c r="N36" s="19"/>
      <c r="O36" s="19"/>
    </row>
    <row r="37" spans="1:15" customFormat="1" ht="15.75" customHeight="1" x14ac:dyDescent="0.25">
      <c r="A37" s="19"/>
      <c r="B37" s="38" t="s">
        <v>72</v>
      </c>
      <c r="C37" s="38" t="s">
        <v>36</v>
      </c>
      <c r="D37" s="39"/>
      <c r="E37" s="40"/>
      <c r="F37" s="19"/>
      <c r="G37" s="20"/>
      <c r="H37" s="20"/>
      <c r="I37" s="19"/>
      <c r="J37" s="19"/>
      <c r="K37" s="19"/>
      <c r="L37" s="19"/>
      <c r="M37" s="19"/>
      <c r="N37" s="19"/>
      <c r="O37" s="19"/>
    </row>
    <row r="38" spans="1:15" customFormat="1" ht="15.75" customHeight="1" x14ac:dyDescent="0.25">
      <c r="A38" s="19"/>
      <c r="B38" s="38" t="s">
        <v>73</v>
      </c>
      <c r="C38" s="38" t="s">
        <v>35</v>
      </c>
      <c r="D38" s="39"/>
      <c r="E38" s="40"/>
      <c r="F38" s="19"/>
      <c r="G38" s="20"/>
      <c r="H38" s="20"/>
      <c r="I38" s="19"/>
      <c r="J38" s="19"/>
      <c r="K38" s="19"/>
      <c r="L38" s="19"/>
      <c r="M38" s="19"/>
      <c r="N38" s="19"/>
      <c r="O38" s="19"/>
    </row>
    <row r="39" spans="1:15" customFormat="1" ht="15.75" customHeight="1" x14ac:dyDescent="0.25">
      <c r="A39" s="19"/>
      <c r="B39" s="38" t="s">
        <v>74</v>
      </c>
      <c r="C39" s="38" t="s">
        <v>36</v>
      </c>
      <c r="D39" s="39"/>
      <c r="E39" s="40"/>
      <c r="F39" s="19"/>
      <c r="G39" s="20"/>
      <c r="H39" s="20"/>
      <c r="I39" s="19"/>
      <c r="J39" s="19"/>
      <c r="K39" s="19"/>
      <c r="L39" s="19"/>
      <c r="M39" s="19"/>
      <c r="N39" s="19"/>
      <c r="O39" s="19"/>
    </row>
    <row r="40" spans="1:15" customFormat="1" ht="15.75" customHeight="1" x14ac:dyDescent="0.25">
      <c r="A40" s="19"/>
      <c r="B40" s="38" t="s">
        <v>75</v>
      </c>
      <c r="C40" s="38" t="s">
        <v>35</v>
      </c>
      <c r="D40" s="39"/>
      <c r="E40" s="40"/>
      <c r="F40" s="19"/>
      <c r="G40" s="20"/>
      <c r="H40" s="20"/>
      <c r="I40" s="19"/>
      <c r="J40" s="19"/>
      <c r="K40" s="19"/>
      <c r="L40" s="19"/>
      <c r="M40" s="19"/>
      <c r="N40" s="19"/>
      <c r="O40" s="19"/>
    </row>
    <row r="41" spans="1:15" customFormat="1" ht="15.75" customHeight="1" x14ac:dyDescent="0.25">
      <c r="A41" s="19"/>
      <c r="B41" s="38" t="s">
        <v>162</v>
      </c>
      <c r="C41" s="38" t="s">
        <v>37</v>
      </c>
      <c r="D41" s="39"/>
      <c r="E41" s="40"/>
      <c r="F41" s="19"/>
      <c r="G41" s="20"/>
      <c r="H41" s="20"/>
      <c r="I41" s="19"/>
      <c r="J41" s="19"/>
      <c r="K41" s="19"/>
      <c r="L41" s="19"/>
      <c r="M41" s="19"/>
      <c r="N41" s="19"/>
      <c r="O41" s="19"/>
    </row>
    <row r="42" spans="1:15" customFormat="1" ht="15.75" customHeight="1" x14ac:dyDescent="0.25">
      <c r="A42" s="19"/>
      <c r="B42" s="38" t="s">
        <v>76</v>
      </c>
      <c r="C42" s="38" t="s">
        <v>37</v>
      </c>
      <c r="D42" s="39"/>
      <c r="E42" s="40"/>
      <c r="F42" s="19"/>
      <c r="G42" s="20"/>
      <c r="H42" s="20"/>
      <c r="I42" s="19"/>
      <c r="J42" s="19"/>
      <c r="K42" s="19"/>
      <c r="L42" s="19"/>
      <c r="M42" s="19"/>
      <c r="N42" s="19"/>
      <c r="O42" s="19"/>
    </row>
    <row r="43" spans="1:15" customFormat="1" ht="15.75" customHeight="1" x14ac:dyDescent="0.25">
      <c r="A43" s="19"/>
      <c r="B43" s="38" t="s">
        <v>78</v>
      </c>
      <c r="C43" s="38" t="s">
        <v>34</v>
      </c>
      <c r="D43" s="39"/>
      <c r="E43" s="40"/>
      <c r="F43" s="19"/>
      <c r="G43" s="20"/>
      <c r="H43" s="20"/>
      <c r="I43" s="19"/>
      <c r="J43" s="19"/>
      <c r="K43" s="19"/>
      <c r="L43" s="19"/>
      <c r="M43" s="19"/>
      <c r="N43" s="19"/>
      <c r="O43" s="19"/>
    </row>
    <row r="44" spans="1:15" customFormat="1" ht="15.75" customHeight="1" x14ac:dyDescent="0.25">
      <c r="A44" s="19"/>
      <c r="B44" s="38" t="s">
        <v>79</v>
      </c>
      <c r="C44" s="38" t="s">
        <v>36</v>
      </c>
      <c r="D44" s="39"/>
      <c r="E44" s="40"/>
      <c r="F44" s="19"/>
      <c r="G44" s="20"/>
      <c r="H44" s="20"/>
      <c r="I44" s="19"/>
      <c r="J44" s="19"/>
      <c r="K44" s="19"/>
      <c r="L44" s="19"/>
      <c r="M44" s="19"/>
      <c r="N44" s="19"/>
      <c r="O44" s="19"/>
    </row>
    <row r="45" spans="1:15" customFormat="1" ht="15.75" customHeight="1" x14ac:dyDescent="0.25">
      <c r="A45" s="19"/>
      <c r="B45" s="38" t="s">
        <v>155</v>
      </c>
      <c r="C45" s="38" t="s">
        <v>37</v>
      </c>
      <c r="D45" s="39"/>
      <c r="E45" s="40"/>
      <c r="F45" s="19"/>
      <c r="G45" s="20"/>
      <c r="H45" s="20"/>
      <c r="I45" s="19"/>
      <c r="J45" s="19"/>
      <c r="K45" s="19"/>
      <c r="L45" s="19"/>
      <c r="M45" s="19"/>
      <c r="N45" s="19"/>
      <c r="O45" s="19"/>
    </row>
    <row r="46" spans="1:15" customFormat="1" ht="15.75" customHeight="1" x14ac:dyDescent="0.25">
      <c r="A46" s="19"/>
      <c r="B46" s="38" t="s">
        <v>80</v>
      </c>
      <c r="C46" s="38" t="s">
        <v>36</v>
      </c>
      <c r="D46" s="39"/>
      <c r="E46" s="40"/>
      <c r="F46" s="19"/>
      <c r="G46" s="20"/>
      <c r="H46" s="20"/>
      <c r="I46" s="19"/>
      <c r="J46" s="19"/>
      <c r="K46" s="19"/>
      <c r="L46" s="19"/>
      <c r="M46" s="19"/>
      <c r="N46" s="19"/>
      <c r="O46" s="19"/>
    </row>
    <row r="47" spans="1:15" customFormat="1" ht="15.75" customHeight="1" x14ac:dyDescent="0.25">
      <c r="A47" s="19"/>
      <c r="B47" s="38" t="s">
        <v>82</v>
      </c>
      <c r="C47" s="38" t="s">
        <v>38</v>
      </c>
      <c r="D47" s="39"/>
      <c r="E47" s="40"/>
      <c r="F47" s="19"/>
      <c r="G47" s="20"/>
      <c r="H47" s="20"/>
      <c r="I47" s="19"/>
      <c r="J47" s="19"/>
      <c r="K47" s="19"/>
      <c r="L47" s="19"/>
      <c r="M47" s="19"/>
      <c r="N47" s="19"/>
      <c r="O47" s="19"/>
    </row>
    <row r="48" spans="1:15" customFormat="1" ht="15.75" customHeight="1" x14ac:dyDescent="0.25">
      <c r="A48" s="19"/>
      <c r="B48" s="38" t="s">
        <v>83</v>
      </c>
      <c r="C48" s="38" t="s">
        <v>37</v>
      </c>
      <c r="D48" s="39"/>
      <c r="E48" s="40"/>
      <c r="F48" s="19"/>
      <c r="G48" s="20"/>
      <c r="H48" s="20"/>
      <c r="I48" s="19"/>
      <c r="J48" s="19"/>
      <c r="K48" s="19"/>
      <c r="L48" s="19"/>
      <c r="M48" s="19"/>
      <c r="N48" s="19"/>
      <c r="O48" s="19"/>
    </row>
    <row r="49" spans="1:15" customFormat="1" ht="15.75" customHeight="1" x14ac:dyDescent="0.25">
      <c r="A49" s="19"/>
      <c r="B49" s="38" t="s">
        <v>84</v>
      </c>
      <c r="C49" s="38" t="s">
        <v>37</v>
      </c>
      <c r="D49" s="39"/>
      <c r="E49" s="40"/>
      <c r="F49" s="19"/>
      <c r="G49" s="20"/>
      <c r="H49" s="20"/>
      <c r="I49" s="19"/>
      <c r="J49" s="19"/>
      <c r="K49" s="19"/>
      <c r="L49" s="19"/>
      <c r="M49" s="19"/>
      <c r="N49" s="19"/>
      <c r="O49" s="19"/>
    </row>
    <row r="50" spans="1:15" customFormat="1" ht="15.75" customHeight="1" x14ac:dyDescent="0.25">
      <c r="A50" s="19"/>
      <c r="B50" s="38" t="s">
        <v>85</v>
      </c>
      <c r="C50" s="38" t="s">
        <v>37</v>
      </c>
      <c r="D50" s="39"/>
      <c r="E50" s="40"/>
      <c r="F50" s="19"/>
      <c r="G50" s="20"/>
      <c r="H50" s="20"/>
      <c r="I50" s="19"/>
      <c r="J50" s="19"/>
      <c r="K50" s="19"/>
      <c r="L50" s="19"/>
      <c r="M50" s="19"/>
      <c r="N50" s="19"/>
      <c r="O50" s="19"/>
    </row>
    <row r="51" spans="1:15" customFormat="1" ht="15.75" customHeight="1" x14ac:dyDescent="0.25">
      <c r="A51" s="19"/>
      <c r="B51" s="38" t="s">
        <v>86</v>
      </c>
      <c r="C51" s="38" t="s">
        <v>35</v>
      </c>
      <c r="D51" s="39"/>
      <c r="E51" s="40"/>
      <c r="F51" s="19"/>
      <c r="G51" s="20"/>
      <c r="H51" s="20"/>
      <c r="I51" s="19"/>
      <c r="J51" s="19"/>
      <c r="K51" s="19"/>
      <c r="L51" s="19"/>
      <c r="M51" s="19"/>
      <c r="N51" s="19"/>
      <c r="O51" s="19"/>
    </row>
    <row r="52" spans="1:15" customFormat="1" ht="15.75" customHeight="1" x14ac:dyDescent="0.25">
      <c r="A52" s="19"/>
      <c r="B52" s="38" t="s">
        <v>87</v>
      </c>
      <c r="C52" s="38" t="s">
        <v>37</v>
      </c>
      <c r="D52" s="39"/>
      <c r="E52" s="40"/>
      <c r="F52" s="19"/>
      <c r="G52" s="20"/>
      <c r="H52" s="20"/>
      <c r="I52" s="19"/>
      <c r="J52" s="19"/>
      <c r="K52" s="19"/>
      <c r="L52" s="19"/>
      <c r="M52" s="19"/>
      <c r="N52" s="19"/>
      <c r="O52" s="19"/>
    </row>
    <row r="53" spans="1:15" customFormat="1" ht="15.75" customHeight="1" x14ac:dyDescent="0.25">
      <c r="A53" s="19"/>
      <c r="B53" s="38" t="s">
        <v>88</v>
      </c>
      <c r="C53" s="38" t="s">
        <v>37</v>
      </c>
      <c r="D53" s="39"/>
      <c r="E53" s="40"/>
      <c r="F53" s="19"/>
      <c r="G53" s="20"/>
      <c r="H53" s="20"/>
      <c r="I53" s="19"/>
      <c r="J53" s="19"/>
      <c r="K53" s="19"/>
      <c r="L53" s="19"/>
      <c r="M53" s="19"/>
      <c r="N53" s="19"/>
      <c r="O53" s="19"/>
    </row>
    <row r="54" spans="1:15" customFormat="1" ht="15.75" customHeight="1" x14ac:dyDescent="0.25">
      <c r="A54" s="19"/>
      <c r="B54" s="38" t="s">
        <v>89</v>
      </c>
      <c r="C54" s="38" t="s">
        <v>36</v>
      </c>
      <c r="D54" s="39"/>
      <c r="E54" s="40"/>
      <c r="F54" s="19"/>
      <c r="G54" s="20"/>
      <c r="H54" s="20"/>
      <c r="I54" s="19"/>
      <c r="J54" s="19"/>
      <c r="K54" s="19"/>
      <c r="L54" s="19"/>
      <c r="M54" s="19"/>
      <c r="N54" s="19"/>
      <c r="O54" s="19"/>
    </row>
    <row r="55" spans="1:15" customFormat="1" ht="15.75" customHeight="1" x14ac:dyDescent="0.25">
      <c r="A55" s="19"/>
      <c r="B55" s="38" t="s">
        <v>90</v>
      </c>
      <c r="C55" s="38" t="s">
        <v>37</v>
      </c>
      <c r="D55" s="39"/>
      <c r="E55" s="40"/>
      <c r="F55" s="19"/>
      <c r="G55" s="20"/>
      <c r="H55" s="20"/>
      <c r="I55" s="19"/>
      <c r="J55" s="19"/>
      <c r="K55" s="19"/>
      <c r="L55" s="19"/>
      <c r="M55" s="19"/>
      <c r="N55" s="19"/>
      <c r="O55" s="19"/>
    </row>
    <row r="56" spans="1:15" customFormat="1" ht="15.75" customHeight="1" x14ac:dyDescent="0.25">
      <c r="A56" s="19"/>
      <c r="B56" s="38" t="s">
        <v>91</v>
      </c>
      <c r="C56" s="38" t="s">
        <v>36</v>
      </c>
      <c r="D56" s="39"/>
      <c r="E56" s="40"/>
      <c r="F56" s="19"/>
      <c r="G56" s="20"/>
      <c r="H56" s="20"/>
      <c r="I56" s="19"/>
      <c r="J56" s="19"/>
      <c r="K56" s="19"/>
      <c r="L56" s="19"/>
      <c r="M56" s="19"/>
      <c r="N56" s="19"/>
      <c r="O56" s="19"/>
    </row>
    <row r="57" spans="1:15" customFormat="1" ht="15.75" customHeight="1" x14ac:dyDescent="0.25">
      <c r="A57" s="19"/>
      <c r="B57" s="38" t="s">
        <v>92</v>
      </c>
      <c r="C57" s="38" t="s">
        <v>37</v>
      </c>
      <c r="D57" s="39"/>
      <c r="E57" s="40"/>
      <c r="F57" s="19"/>
      <c r="G57" s="20"/>
      <c r="H57" s="20"/>
      <c r="I57" s="19"/>
      <c r="J57" s="19"/>
      <c r="K57" s="19"/>
      <c r="L57" s="19"/>
      <c r="M57" s="19"/>
      <c r="N57" s="19"/>
      <c r="O57" s="19"/>
    </row>
    <row r="58" spans="1:15" customFormat="1" ht="15.75" customHeight="1" x14ac:dyDescent="0.25">
      <c r="A58" s="19"/>
      <c r="B58" s="38" t="s">
        <v>93</v>
      </c>
      <c r="C58" s="38" t="s">
        <v>37</v>
      </c>
      <c r="D58" s="39"/>
      <c r="E58" s="40"/>
      <c r="F58" s="19"/>
      <c r="G58" s="20"/>
      <c r="H58" s="20"/>
      <c r="I58" s="19"/>
      <c r="J58" s="19"/>
      <c r="K58" s="19"/>
      <c r="L58" s="19"/>
      <c r="M58" s="19"/>
      <c r="N58" s="19"/>
      <c r="O58" s="19"/>
    </row>
    <row r="59" spans="1:15" customFormat="1" ht="15.75" customHeight="1" x14ac:dyDescent="0.25">
      <c r="A59" s="19"/>
      <c r="B59" s="38" t="s">
        <v>94</v>
      </c>
      <c r="C59" s="38" t="s">
        <v>37</v>
      </c>
      <c r="D59" s="39"/>
      <c r="E59" s="40"/>
      <c r="F59" s="19"/>
      <c r="G59" s="20"/>
      <c r="H59" s="20"/>
      <c r="I59" s="19"/>
      <c r="J59" s="19"/>
      <c r="K59" s="19"/>
      <c r="L59" s="19"/>
      <c r="M59" s="19"/>
      <c r="N59" s="19"/>
      <c r="O59" s="19"/>
    </row>
    <row r="60" spans="1:15" customFormat="1" ht="15.75" customHeight="1" x14ac:dyDescent="0.25">
      <c r="A60" s="19"/>
      <c r="B60" s="38" t="s">
        <v>95</v>
      </c>
      <c r="C60" s="38" t="s">
        <v>36</v>
      </c>
      <c r="D60" s="39"/>
      <c r="E60" s="40"/>
      <c r="F60" s="19"/>
      <c r="G60" s="20"/>
      <c r="H60" s="20"/>
      <c r="I60" s="19"/>
      <c r="J60" s="19"/>
      <c r="K60" s="19"/>
      <c r="L60" s="19"/>
      <c r="M60" s="19"/>
      <c r="N60" s="19"/>
      <c r="O60" s="19"/>
    </row>
    <row r="61" spans="1:15" customFormat="1" ht="15.75" customHeight="1" x14ac:dyDescent="0.25">
      <c r="A61" s="19"/>
      <c r="B61" s="38" t="s">
        <v>97</v>
      </c>
      <c r="C61" s="38" t="s">
        <v>37</v>
      </c>
      <c r="D61" s="39"/>
      <c r="E61" s="40"/>
      <c r="F61" s="19"/>
      <c r="G61" s="20"/>
      <c r="H61" s="20"/>
      <c r="I61" s="19"/>
      <c r="J61" s="19"/>
      <c r="K61" s="19"/>
      <c r="L61" s="19"/>
      <c r="M61" s="19"/>
      <c r="N61" s="19"/>
      <c r="O61" s="19"/>
    </row>
    <row r="62" spans="1:15" customFormat="1" ht="15.75" customHeight="1" x14ac:dyDescent="0.25">
      <c r="A62" s="19"/>
      <c r="B62" s="38" t="s">
        <v>98</v>
      </c>
      <c r="C62" s="38" t="s">
        <v>37</v>
      </c>
      <c r="D62" s="39"/>
      <c r="E62" s="40"/>
      <c r="F62" s="19"/>
      <c r="G62" s="20"/>
      <c r="H62" s="20"/>
      <c r="I62" s="19"/>
      <c r="J62" s="19"/>
      <c r="K62" s="19"/>
      <c r="L62" s="19"/>
      <c r="M62" s="19"/>
      <c r="N62" s="19"/>
      <c r="O62" s="19"/>
    </row>
    <row r="63" spans="1:15" customFormat="1" ht="15.75" customHeight="1" x14ac:dyDescent="0.25">
      <c r="A63" s="19"/>
      <c r="B63" s="38" t="s">
        <v>99</v>
      </c>
      <c r="C63" s="38" t="s">
        <v>34</v>
      </c>
      <c r="D63" s="39"/>
      <c r="E63" s="40"/>
      <c r="F63" s="19"/>
      <c r="G63" s="20"/>
      <c r="H63" s="20"/>
      <c r="I63" s="19"/>
      <c r="J63" s="19"/>
      <c r="K63" s="19"/>
      <c r="L63" s="19"/>
      <c r="M63" s="19"/>
      <c r="N63" s="19"/>
      <c r="O63" s="19"/>
    </row>
    <row r="64" spans="1:15" customFormat="1" ht="15.75" customHeight="1" x14ac:dyDescent="0.25">
      <c r="A64" s="19"/>
      <c r="B64" s="38" t="s">
        <v>100</v>
      </c>
      <c r="C64" s="38" t="s">
        <v>36</v>
      </c>
      <c r="D64" s="39"/>
      <c r="E64" s="40"/>
      <c r="F64" s="19"/>
      <c r="G64" s="20"/>
      <c r="H64" s="20"/>
      <c r="I64" s="19"/>
      <c r="J64" s="19"/>
      <c r="K64" s="19"/>
      <c r="L64" s="19"/>
      <c r="M64" s="19"/>
      <c r="N64" s="19"/>
      <c r="O64" s="19"/>
    </row>
    <row r="65" spans="1:21" customFormat="1" ht="15.75" customHeight="1" x14ac:dyDescent="0.25">
      <c r="A65" s="19"/>
      <c r="B65" s="38" t="s">
        <v>101</v>
      </c>
      <c r="C65" s="38" t="s">
        <v>36</v>
      </c>
      <c r="D65" s="39"/>
      <c r="E65" s="40"/>
      <c r="F65" s="19"/>
      <c r="G65" s="20"/>
      <c r="H65" s="20"/>
      <c r="I65" s="19"/>
      <c r="J65" s="19"/>
      <c r="K65" s="19"/>
      <c r="L65" s="19"/>
      <c r="M65" s="19"/>
      <c r="N65" s="19"/>
      <c r="O65" s="19"/>
    </row>
    <row r="66" spans="1:21" customFormat="1" ht="15.75" customHeight="1" x14ac:dyDescent="0.25">
      <c r="A66" s="19"/>
      <c r="B66" s="38" t="s">
        <v>102</v>
      </c>
      <c r="C66" s="38" t="s">
        <v>37</v>
      </c>
      <c r="D66" s="39"/>
      <c r="E66" s="40"/>
      <c r="F66" s="19"/>
      <c r="G66" s="20"/>
      <c r="H66" s="20"/>
      <c r="I66" s="19"/>
      <c r="J66" s="19"/>
      <c r="K66" s="19"/>
      <c r="L66" s="19"/>
      <c r="M66" s="19"/>
      <c r="N66" s="19"/>
      <c r="O66" s="19"/>
    </row>
    <row r="67" spans="1:21" customFormat="1" ht="15.75" customHeight="1" x14ac:dyDescent="0.25">
      <c r="A67" s="19"/>
      <c r="B67" s="38" t="s">
        <v>103</v>
      </c>
      <c r="C67" s="38" t="s">
        <v>37</v>
      </c>
      <c r="D67" s="39"/>
      <c r="E67" s="40"/>
      <c r="F67" s="19"/>
      <c r="G67" s="20"/>
      <c r="H67" s="20"/>
      <c r="I67" s="19"/>
      <c r="J67" s="19"/>
      <c r="K67" s="19"/>
      <c r="L67" s="19"/>
      <c r="M67" s="19"/>
      <c r="N67" s="19"/>
      <c r="O67" s="19"/>
    </row>
    <row r="68" spans="1:21" customFormat="1" ht="15.75" customHeight="1" x14ac:dyDescent="0.25">
      <c r="A68" s="19"/>
      <c r="B68" s="38" t="s">
        <v>104</v>
      </c>
      <c r="C68" s="38" t="s">
        <v>37</v>
      </c>
      <c r="D68" s="39"/>
      <c r="E68" s="40"/>
      <c r="F68" s="19"/>
      <c r="G68" s="20"/>
      <c r="H68" s="20"/>
      <c r="I68" s="19"/>
      <c r="J68" s="19"/>
      <c r="K68" s="19"/>
      <c r="L68" s="19"/>
      <c r="M68" s="19"/>
      <c r="N68" s="19"/>
      <c r="O68" s="19"/>
    </row>
    <row r="69" spans="1:21" customFormat="1" ht="15.75" customHeight="1" x14ac:dyDescent="0.25">
      <c r="A69" s="19"/>
      <c r="B69" s="38" t="s">
        <v>105</v>
      </c>
      <c r="C69" s="38" t="s">
        <v>36</v>
      </c>
      <c r="D69" s="39"/>
      <c r="E69" s="40"/>
      <c r="F69" s="19"/>
      <c r="G69" s="20"/>
      <c r="H69" s="20"/>
      <c r="I69" s="19"/>
      <c r="J69" s="19"/>
      <c r="K69" s="19"/>
      <c r="L69" s="19"/>
      <c r="M69" s="19"/>
      <c r="N69" s="19"/>
      <c r="O69" s="19"/>
    </row>
    <row r="70" spans="1:21" customFormat="1" ht="15.75" customHeight="1" x14ac:dyDescent="0.25">
      <c r="A70" s="19"/>
      <c r="B70" s="38" t="s">
        <v>156</v>
      </c>
      <c r="C70" s="38" t="s">
        <v>35</v>
      </c>
      <c r="D70" s="39"/>
      <c r="E70" s="40"/>
      <c r="F70" s="19"/>
      <c r="G70" s="20"/>
      <c r="H70" s="20"/>
      <c r="I70" s="19"/>
      <c r="J70" s="19"/>
      <c r="K70" s="19"/>
      <c r="L70" s="19"/>
      <c r="M70" s="19"/>
      <c r="N70" s="19"/>
      <c r="O70" s="19"/>
    </row>
    <row r="71" spans="1:21" customFormat="1" ht="15.75" customHeight="1" x14ac:dyDescent="0.25">
      <c r="A71" s="19"/>
      <c r="B71" s="94" t="s">
        <v>176</v>
      </c>
      <c r="C71" s="38" t="s">
        <v>37</v>
      </c>
      <c r="D71" s="39"/>
      <c r="E71" s="95" t="s">
        <v>177</v>
      </c>
      <c r="F71" s="19"/>
      <c r="G71" s="20"/>
      <c r="H71" s="20"/>
      <c r="I71" s="19"/>
      <c r="J71" s="19"/>
      <c r="K71" s="19"/>
      <c r="L71" s="19"/>
      <c r="M71" s="19"/>
      <c r="N71" s="19"/>
      <c r="O71" s="19"/>
    </row>
    <row r="72" spans="1:21" customFormat="1" ht="15.75" customHeight="1" x14ac:dyDescent="0.25">
      <c r="A72" s="19"/>
      <c r="B72" s="94" t="s">
        <v>176</v>
      </c>
      <c r="C72" s="38" t="s">
        <v>35</v>
      </c>
      <c r="D72" s="39"/>
      <c r="E72" s="95" t="s">
        <v>177</v>
      </c>
      <c r="F72" s="19"/>
      <c r="G72" s="20"/>
      <c r="H72" s="20"/>
      <c r="I72" s="19"/>
      <c r="J72" s="19"/>
      <c r="K72" s="19"/>
      <c r="L72" s="19"/>
      <c r="M72" s="19"/>
      <c r="N72" s="19"/>
      <c r="O72" s="19"/>
    </row>
    <row r="73" spans="1:21" customFormat="1" ht="15.75" customHeight="1" x14ac:dyDescent="0.25">
      <c r="A73" s="19"/>
      <c r="B73" s="94" t="s">
        <v>176</v>
      </c>
      <c r="C73" s="38" t="s">
        <v>34</v>
      </c>
      <c r="D73" s="39"/>
      <c r="E73" s="95" t="s">
        <v>177</v>
      </c>
      <c r="F73" s="19"/>
      <c r="G73" s="20"/>
      <c r="H73" s="20"/>
      <c r="I73" s="19"/>
      <c r="J73" s="19"/>
      <c r="K73" s="19"/>
      <c r="L73" s="19"/>
      <c r="M73" s="19"/>
      <c r="N73" s="19"/>
      <c r="O73" s="19"/>
    </row>
    <row r="74" spans="1:21" customFormat="1" ht="15.75" customHeight="1" x14ac:dyDescent="0.25">
      <c r="A74" s="19"/>
      <c r="B74" s="94" t="s">
        <v>176</v>
      </c>
      <c r="C74" s="38" t="s">
        <v>36</v>
      </c>
      <c r="D74" s="39"/>
      <c r="E74" s="95" t="s">
        <v>177</v>
      </c>
      <c r="F74" s="19"/>
      <c r="G74" s="20"/>
      <c r="H74" s="20"/>
      <c r="I74" s="19"/>
      <c r="J74" s="19"/>
      <c r="K74" s="19"/>
      <c r="L74" s="19"/>
      <c r="M74" s="19"/>
      <c r="N74" s="19"/>
      <c r="O74" s="19"/>
    </row>
    <row r="75" spans="1:21" customFormat="1" ht="15.75" customHeight="1" x14ac:dyDescent="0.25">
      <c r="A75" s="19"/>
      <c r="B75" s="94" t="s">
        <v>176</v>
      </c>
      <c r="C75" s="38" t="s">
        <v>38</v>
      </c>
      <c r="D75" s="39"/>
      <c r="E75" s="95" t="s">
        <v>177</v>
      </c>
      <c r="F75" s="19"/>
      <c r="G75" s="20"/>
      <c r="H75" s="20"/>
      <c r="I75" s="19"/>
      <c r="J75" s="19"/>
      <c r="K75" s="19"/>
      <c r="L75" s="19"/>
      <c r="M75" s="19"/>
      <c r="N75" s="19"/>
      <c r="O75" s="19"/>
    </row>
    <row r="76" spans="1:21" customFormat="1" ht="15.75" customHeight="1" x14ac:dyDescent="0.25">
      <c r="A76" s="19"/>
      <c r="B76" s="19"/>
      <c r="C76" s="19"/>
      <c r="D76" s="19"/>
      <c r="E76" s="20"/>
      <c r="F76" s="20"/>
      <c r="G76" s="19"/>
      <c r="H76" s="19"/>
      <c r="I76" s="19"/>
      <c r="J76" s="19"/>
      <c r="K76" s="19"/>
      <c r="L76" s="19"/>
      <c r="M76" s="19"/>
    </row>
    <row r="77" spans="1:21" customFormat="1" ht="5.0999999999999996" customHeight="1" x14ac:dyDescent="0.25">
      <c r="A77" s="19"/>
      <c r="B77" s="19"/>
      <c r="C77" s="19"/>
      <c r="D77" s="19"/>
      <c r="E77" s="20"/>
      <c r="F77" s="20"/>
      <c r="G77" s="19"/>
      <c r="H77" s="19"/>
      <c r="I77" s="19"/>
      <c r="J77" s="19"/>
      <c r="K77" s="19"/>
      <c r="L77" s="19"/>
      <c r="M77" s="19"/>
    </row>
    <row r="78" spans="1:21" x14ac:dyDescent="0.2">
      <c r="A78" s="62" t="s">
        <v>260</v>
      </c>
      <c r="B78" s="59"/>
      <c r="C78" s="59"/>
      <c r="D78" s="60"/>
      <c r="E78" s="60"/>
      <c r="F78" s="60"/>
      <c r="G78" s="60"/>
      <c r="H78" s="60"/>
      <c r="I78" s="60"/>
      <c r="J78" s="60"/>
      <c r="K78" s="60"/>
      <c r="L78" s="59"/>
      <c r="M78" s="61"/>
    </row>
    <row r="79" spans="1:21" s="19" customFormat="1" ht="15" x14ac:dyDescent="0.25">
      <c r="B79" s="21"/>
      <c r="E79" s="20"/>
      <c r="F79" s="20"/>
      <c r="N79"/>
      <c r="O79"/>
      <c r="P79"/>
      <c r="Q79"/>
      <c r="R79"/>
      <c r="S79"/>
      <c r="T79"/>
    </row>
    <row r="80" spans="1:21" s="19" customFormat="1" ht="27" x14ac:dyDescent="0.25">
      <c r="B80" s="34" t="s">
        <v>50</v>
      </c>
      <c r="C80" s="34" t="s">
        <v>160</v>
      </c>
      <c r="D80" s="71" t="s">
        <v>145</v>
      </c>
      <c r="E80" s="35" t="s">
        <v>146</v>
      </c>
      <c r="F80" s="35" t="s">
        <v>263</v>
      </c>
      <c r="G80" s="35" t="s">
        <v>259</v>
      </c>
      <c r="H80" s="36" t="s">
        <v>242</v>
      </c>
      <c r="I80" s="37" t="s">
        <v>269</v>
      </c>
      <c r="J80" s="37" t="s">
        <v>33</v>
      </c>
      <c r="O80"/>
      <c r="P80"/>
      <c r="Q80"/>
      <c r="R80"/>
      <c r="S80"/>
      <c r="T80"/>
      <c r="U80"/>
    </row>
    <row r="81" spans="1:21" s="19" customFormat="1" ht="15" x14ac:dyDescent="0.25">
      <c r="B81" s="38" t="s">
        <v>159</v>
      </c>
      <c r="C81" s="38" t="s">
        <v>64</v>
      </c>
      <c r="D81" s="40">
        <f>SUMIFS(Tabelle37[Anzahl Flüge],Tabelle37[Region (Zuordnung)],Flugreisen_Scop33[[#This Row],[Zielland]])</f>
        <v>0</v>
      </c>
      <c r="E81" s="40">
        <v>800</v>
      </c>
      <c r="F81" s="40">
        <f>D81*Flugreisen_Scop33[[#This Row],[Annahme Entfernung 
(km / Jahr)]]*2</f>
        <v>0</v>
      </c>
      <c r="G81" s="41">
        <v>0.254</v>
      </c>
      <c r="H81" s="42">
        <f t="shared" ref="H81:H86" si="0">+F81*G81</f>
        <v>0</v>
      </c>
      <c r="I81" s="183" t="s">
        <v>151</v>
      </c>
      <c r="J81" s="43" t="s">
        <v>270</v>
      </c>
      <c r="O81"/>
      <c r="P81"/>
      <c r="Q81"/>
      <c r="R81"/>
      <c r="S81"/>
      <c r="T81"/>
      <c r="U81"/>
    </row>
    <row r="82" spans="1:21" s="19" customFormat="1" ht="15" x14ac:dyDescent="0.25">
      <c r="B82" s="38" t="s">
        <v>158</v>
      </c>
      <c r="C82" s="38" t="s">
        <v>37</v>
      </c>
      <c r="D82" s="40">
        <f>SUMIFS(Tabelle37[Anzahl Flüge],Tabelle37[Region (Zuordnung)],Flugreisen_Scop33[[#This Row],[Zielland]])</f>
        <v>0</v>
      </c>
      <c r="E82" s="40">
        <v>1500</v>
      </c>
      <c r="F82" s="40">
        <f>D82*Flugreisen_Scop33[[#This Row],[Annahme Entfernung 
(km / Jahr)]]*2</f>
        <v>0</v>
      </c>
      <c r="G82" s="41">
        <v>0.254</v>
      </c>
      <c r="H82" s="42">
        <f t="shared" si="0"/>
        <v>0</v>
      </c>
      <c r="I82" s="183" t="s">
        <v>150</v>
      </c>
      <c r="J82" s="43" t="s">
        <v>270</v>
      </c>
      <c r="O82"/>
      <c r="P82"/>
      <c r="Q82"/>
      <c r="R82"/>
      <c r="S82"/>
      <c r="T82"/>
      <c r="U82"/>
    </row>
    <row r="83" spans="1:21" s="19" customFormat="1" ht="15" x14ac:dyDescent="0.25">
      <c r="B83" s="38" t="s">
        <v>158</v>
      </c>
      <c r="C83" s="38" t="s">
        <v>35</v>
      </c>
      <c r="D83" s="40">
        <f>SUMIFS(Tabelle37[Anzahl Flüge],Tabelle37[Region (Zuordnung)],Flugreisen_Scop33[[#This Row],[Zielland]])</f>
        <v>0</v>
      </c>
      <c r="E83" s="40">
        <v>8000</v>
      </c>
      <c r="F83" s="40">
        <f>D83*Flugreisen_Scop33[[#This Row],[Annahme Entfernung 
(km / Jahr)]]*2</f>
        <v>0</v>
      </c>
      <c r="G83" s="41">
        <v>0.249</v>
      </c>
      <c r="H83" s="42">
        <f t="shared" si="0"/>
        <v>0</v>
      </c>
      <c r="I83" s="183" t="s">
        <v>148</v>
      </c>
      <c r="J83" s="43" t="s">
        <v>270</v>
      </c>
      <c r="O83"/>
      <c r="P83"/>
      <c r="Q83"/>
      <c r="R83"/>
      <c r="S83"/>
      <c r="T83"/>
      <c r="U83"/>
    </row>
    <row r="84" spans="1:21" s="19" customFormat="1" ht="15" x14ac:dyDescent="0.25">
      <c r="B84" s="38" t="s">
        <v>158</v>
      </c>
      <c r="C84" s="38" t="s">
        <v>34</v>
      </c>
      <c r="D84" s="40">
        <f>SUMIFS(Tabelle37[Anzahl Flüge],Tabelle37[Region (Zuordnung)],Flugreisen_Scop33[[#This Row],[Zielland]])</f>
        <v>0</v>
      </c>
      <c r="E84" s="40">
        <v>14000</v>
      </c>
      <c r="F84" s="40">
        <f>D84*Flugreisen_Scop33[[#This Row],[Annahme Entfernung 
(km / Jahr)]]*2</f>
        <v>0</v>
      </c>
      <c r="G84" s="41">
        <v>0.249</v>
      </c>
      <c r="H84" s="42">
        <f t="shared" si="0"/>
        <v>0</v>
      </c>
      <c r="I84" s="183" t="s">
        <v>149</v>
      </c>
      <c r="J84" s="43" t="s">
        <v>270</v>
      </c>
      <c r="O84"/>
      <c r="P84"/>
      <c r="Q84"/>
      <c r="R84"/>
      <c r="S84"/>
      <c r="T84"/>
      <c r="U84"/>
    </row>
    <row r="85" spans="1:21" s="19" customFormat="1" ht="15" x14ac:dyDescent="0.25">
      <c r="B85" s="38" t="s">
        <v>158</v>
      </c>
      <c r="C85" s="38" t="s">
        <v>36</v>
      </c>
      <c r="D85" s="40">
        <f>SUMIFS(Tabelle37[Anzahl Flüge],Tabelle37[Region (Zuordnung)],Flugreisen_Scop33[[#This Row],[Zielland]])</f>
        <v>0</v>
      </c>
      <c r="E85" s="40">
        <v>10000</v>
      </c>
      <c r="F85" s="40">
        <f>D85*Flugreisen_Scop33[[#This Row],[Annahme Entfernung 
(km / Jahr)]]*2</f>
        <v>0</v>
      </c>
      <c r="G85" s="41">
        <v>0.249</v>
      </c>
      <c r="H85" s="42">
        <f>+F85*G85</f>
        <v>0</v>
      </c>
      <c r="I85" s="183" t="s">
        <v>152</v>
      </c>
      <c r="J85" s="43" t="s">
        <v>270</v>
      </c>
      <c r="O85"/>
      <c r="P85"/>
      <c r="Q85"/>
      <c r="R85"/>
      <c r="S85"/>
      <c r="T85"/>
      <c r="U85"/>
    </row>
    <row r="86" spans="1:21" s="19" customFormat="1" ht="15" x14ac:dyDescent="0.25">
      <c r="B86" s="38" t="s">
        <v>158</v>
      </c>
      <c r="C86" s="38" t="s">
        <v>38</v>
      </c>
      <c r="D86" s="40">
        <f>SUMIFS(Tabelle37[Anzahl Flüge],Tabelle37[Region (Zuordnung)],Flugreisen_Scop33[[#This Row],[Zielland]])</f>
        <v>0</v>
      </c>
      <c r="E86" s="40">
        <v>17000</v>
      </c>
      <c r="F86" s="40">
        <f>D86*Flugreisen_Scop33[[#This Row],[Annahme Entfernung 
(km / Jahr)]]*2</f>
        <v>0</v>
      </c>
      <c r="G86" s="41">
        <v>0.249</v>
      </c>
      <c r="H86" s="42">
        <f t="shared" si="0"/>
        <v>0</v>
      </c>
      <c r="I86" s="183" t="s">
        <v>154</v>
      </c>
      <c r="J86" s="43" t="s">
        <v>270</v>
      </c>
      <c r="O86"/>
      <c r="P86"/>
      <c r="Q86"/>
      <c r="R86"/>
      <c r="S86"/>
      <c r="T86"/>
      <c r="U86"/>
    </row>
    <row r="87" spans="1:21" s="19" customFormat="1" ht="15" x14ac:dyDescent="0.25">
      <c r="B87" s="44" t="s">
        <v>52</v>
      </c>
      <c r="C87" s="45"/>
      <c r="D87" s="45">
        <f>SUBTOTAL(109,Flugreisen_Scop33[Anzahl Flüge])</f>
        <v>0</v>
      </c>
      <c r="E87" s="45"/>
      <c r="F87" s="46">
        <f>SUM(Flugreisen_Scop33[Hin- &amp; Rückflug (km / Jahr)])</f>
        <v>0</v>
      </c>
      <c r="G87" s="2"/>
      <c r="H87" s="47">
        <f>SUBTOTAL(109,Flugreisen_Scop33[Ergebnis 
(kg CO2e / Jahr)])</f>
        <v>0</v>
      </c>
      <c r="I87" s="2"/>
      <c r="J87" s="2"/>
      <c r="O87"/>
      <c r="P87"/>
      <c r="Q87"/>
      <c r="R87"/>
      <c r="S87"/>
      <c r="T87"/>
      <c r="U87"/>
    </row>
    <row r="88" spans="1:21" s="19" customFormat="1" ht="15" x14ac:dyDescent="0.25">
      <c r="E88" s="20"/>
      <c r="F88" s="20"/>
      <c r="N88"/>
      <c r="O88"/>
      <c r="P88"/>
      <c r="Q88"/>
      <c r="R88"/>
      <c r="S88"/>
      <c r="T88"/>
    </row>
    <row r="89" spans="1:21" s="19" customFormat="1" ht="5.0999999999999996" customHeight="1" x14ac:dyDescent="0.25">
      <c r="E89" s="20"/>
      <c r="F89" s="20"/>
      <c r="N89"/>
      <c r="O89"/>
      <c r="P89"/>
      <c r="Q89"/>
      <c r="R89"/>
      <c r="S89"/>
      <c r="T89"/>
    </row>
    <row r="90" spans="1:21" x14ac:dyDescent="0.2">
      <c r="A90" s="62" t="s">
        <v>234</v>
      </c>
      <c r="B90" s="59"/>
      <c r="C90" s="59"/>
      <c r="D90" s="60"/>
      <c r="E90" s="60"/>
      <c r="F90" s="60"/>
      <c r="G90" s="60"/>
      <c r="H90" s="60"/>
      <c r="I90" s="60"/>
      <c r="J90" s="60"/>
      <c r="K90" s="60"/>
      <c r="L90" s="59"/>
      <c r="M90" s="61"/>
    </row>
    <row r="91" spans="1:21" x14ac:dyDescent="0.2">
      <c r="B91" s="43"/>
      <c r="C91" s="63"/>
      <c r="D91" s="63"/>
      <c r="E91" s="63"/>
      <c r="F91" s="63"/>
    </row>
    <row r="92" spans="1:21" ht="27" x14ac:dyDescent="0.25">
      <c r="B92" s="34" t="s">
        <v>172</v>
      </c>
      <c r="C92" s="64" t="s">
        <v>166</v>
      </c>
      <c r="D92" s="71" t="s">
        <v>165</v>
      </c>
      <c r="E92" s="35" t="s">
        <v>146</v>
      </c>
      <c r="F92" s="35" t="s">
        <v>51</v>
      </c>
      <c r="G92" s="35" t="s">
        <v>259</v>
      </c>
      <c r="H92" s="36" t="s">
        <v>242</v>
      </c>
      <c r="I92" s="37" t="s">
        <v>269</v>
      </c>
      <c r="J92" s="37" t="s">
        <v>33</v>
      </c>
    </row>
    <row r="93" spans="1:21" ht="13.5" customHeight="1" x14ac:dyDescent="0.2">
      <c r="B93" s="38" t="s">
        <v>273</v>
      </c>
      <c r="C93" s="38" t="s">
        <v>276</v>
      </c>
      <c r="D93" s="72"/>
      <c r="E93" s="40">
        <v>8</v>
      </c>
      <c r="F93" s="65">
        <f>E93*2</f>
        <v>16</v>
      </c>
      <c r="G93" s="253">
        <v>9.4E-2</v>
      </c>
      <c r="H93" s="67">
        <f>Landreisen_Scope3[[#This Row],[Anzahl Reisen]]*Landreisen_Scope3[[#This Row],[Hin- &amp; Rückfahrt (km / Jahr)]]*Landreisen_Scope3[[#This Row],[Emissionsfaktor 
(kg CO2e / Pkm) ]]</f>
        <v>0</v>
      </c>
      <c r="I93" s="254" t="s">
        <v>275</v>
      </c>
      <c r="J93" s="254" t="s">
        <v>268</v>
      </c>
    </row>
    <row r="94" spans="1:21" x14ac:dyDescent="0.2">
      <c r="B94" s="38" t="s">
        <v>272</v>
      </c>
      <c r="C94" s="38" t="s">
        <v>274</v>
      </c>
      <c r="D94" s="72"/>
      <c r="E94" s="40">
        <v>80</v>
      </c>
      <c r="F94" s="65">
        <f>E94*2</f>
        <v>160</v>
      </c>
      <c r="G94" s="66">
        <v>9.2999999999999999E-2</v>
      </c>
      <c r="H94" s="67">
        <f>Landreisen_Scope3[[#This Row],[Anzahl Reisen]]*Landreisen_Scope3[[#This Row],[Hin- &amp; Rückfahrt (km / Jahr)]]*Landreisen_Scope3[[#This Row],[Emissionsfaktor 
(kg CO2e / Pkm) ]]</f>
        <v>0</v>
      </c>
      <c r="I94" s="43" t="s">
        <v>265</v>
      </c>
      <c r="J94" s="43" t="s">
        <v>268</v>
      </c>
    </row>
    <row r="95" spans="1:21" x14ac:dyDescent="0.2">
      <c r="B95" s="38" t="s">
        <v>54</v>
      </c>
      <c r="C95" s="38" t="s">
        <v>167</v>
      </c>
      <c r="D95" s="73"/>
      <c r="E95" s="40">
        <v>400</v>
      </c>
      <c r="F95" s="40">
        <f>E95*2</f>
        <v>800</v>
      </c>
      <c r="G95" s="68">
        <v>4.5999999999999999E-2</v>
      </c>
      <c r="H95" s="67">
        <f>Landreisen_Scope3[[#This Row],[Anzahl Reisen]]*Landreisen_Scope3[[#This Row],[Hin- &amp; Rückfahrt (km / Jahr)]]*Landreisen_Scope3[[#This Row],[Emissionsfaktor 
(kg CO2e / Pkm) ]]</f>
        <v>0</v>
      </c>
      <c r="I95" s="43" t="s">
        <v>264</v>
      </c>
      <c r="J95" s="43" t="s">
        <v>268</v>
      </c>
    </row>
    <row r="96" spans="1:21" x14ac:dyDescent="0.2">
      <c r="B96" s="69" t="s">
        <v>171</v>
      </c>
      <c r="C96" s="69"/>
      <c r="D96" s="3">
        <f>SUBTOTAL(109,Landreisen_Scope3[Anzahl Reisen])</f>
        <v>0</v>
      </c>
      <c r="E96" s="3">
        <f>SUBTOTAL(109,Landreisen_Scope3[Typ])</f>
        <v>0</v>
      </c>
      <c r="F96" s="46">
        <f>SUM(Landreisen_Scope3[Anzahl Reisen])</f>
        <v>0</v>
      </c>
      <c r="G96" s="2"/>
      <c r="H96" s="47">
        <f>SUBTOTAL(109,Landreisen_Scope3[Ergebnis 
(kg CO2e / Jahr)])</f>
        <v>0</v>
      </c>
      <c r="I96" s="2"/>
      <c r="J96" s="2"/>
    </row>
    <row r="97" spans="1:21" x14ac:dyDescent="0.2">
      <c r="B97" s="43"/>
      <c r="C97" s="43"/>
      <c r="D97" s="43"/>
      <c r="E97" s="63"/>
      <c r="F97" s="63"/>
    </row>
    <row r="98" spans="1:21" ht="5.0999999999999996" customHeight="1" x14ac:dyDescent="0.2">
      <c r="B98" s="43"/>
      <c r="C98" s="43"/>
      <c r="D98" s="43"/>
      <c r="E98" s="63"/>
      <c r="F98" s="63"/>
    </row>
    <row r="99" spans="1:21" x14ac:dyDescent="0.2">
      <c r="A99" s="62" t="s">
        <v>233</v>
      </c>
      <c r="B99" s="59"/>
      <c r="C99" s="59"/>
      <c r="D99" s="60"/>
      <c r="E99" s="60"/>
      <c r="F99" s="60"/>
      <c r="G99" s="60"/>
      <c r="H99" s="60"/>
      <c r="I99" s="60"/>
      <c r="J99" s="60"/>
      <c r="K99" s="60"/>
      <c r="L99" s="59"/>
      <c r="M99" s="61"/>
    </row>
    <row r="100" spans="1:21" x14ac:dyDescent="0.2">
      <c r="B100" s="43"/>
      <c r="C100" s="43"/>
      <c r="D100" s="43"/>
      <c r="E100" s="63"/>
      <c r="F100" s="63"/>
    </row>
    <row r="101" spans="1:21" ht="27" x14ac:dyDescent="0.25">
      <c r="B101" s="34" t="s">
        <v>53</v>
      </c>
      <c r="C101" s="82" t="s">
        <v>166</v>
      </c>
      <c r="D101" s="71" t="s">
        <v>169</v>
      </c>
      <c r="E101" s="35" t="s">
        <v>146</v>
      </c>
      <c r="F101" s="35" t="s">
        <v>51</v>
      </c>
      <c r="G101" s="35" t="s">
        <v>259</v>
      </c>
      <c r="H101" s="36" t="s">
        <v>242</v>
      </c>
      <c r="I101" s="37" t="s">
        <v>153</v>
      </c>
      <c r="J101" s="83" t="s">
        <v>33</v>
      </c>
    </row>
    <row r="102" spans="1:21" x14ac:dyDescent="0.2">
      <c r="B102" s="70" t="s">
        <v>108</v>
      </c>
      <c r="C102" s="70" t="s">
        <v>168</v>
      </c>
      <c r="D102" s="74"/>
      <c r="E102" s="31"/>
      <c r="F102" s="31"/>
      <c r="G102" s="48">
        <v>0.16200000000000001</v>
      </c>
      <c r="H102" s="42">
        <f>Tabelle8[Gefahrene Kilometer]*Tabelle8[Emissionsfaktor 
(kg CO2e / Pkm) ]</f>
        <v>0</v>
      </c>
      <c r="I102" s="75"/>
      <c r="J102" s="75" t="s">
        <v>268</v>
      </c>
    </row>
    <row r="103" spans="1:21" customFormat="1" ht="15" x14ac:dyDescent="0.25">
      <c r="B103" s="90" t="s">
        <v>170</v>
      </c>
      <c r="C103" s="88"/>
      <c r="D103" s="88"/>
      <c r="E103" s="88"/>
      <c r="F103" s="88"/>
      <c r="G103" s="88"/>
      <c r="H103" s="47">
        <f>SUBTOTAL(109,Tabelle8[Ergebnis 
(kg CO2e / Jahr)])</f>
        <v>0</v>
      </c>
      <c r="I103" s="86"/>
      <c r="J103" s="86"/>
    </row>
    <row r="104" spans="1:21" ht="15" x14ac:dyDescent="0.25">
      <c r="B104"/>
      <c r="C104"/>
      <c r="D104"/>
      <c r="E104"/>
      <c r="F104"/>
      <c r="G104"/>
      <c r="H104"/>
      <c r="I104"/>
      <c r="J104"/>
    </row>
    <row r="105" spans="1:21" ht="5.0999999999999996" customHeight="1" x14ac:dyDescent="0.25">
      <c r="B105"/>
      <c r="C105"/>
      <c r="D105"/>
      <c r="E105"/>
      <c r="F105"/>
      <c r="G105"/>
      <c r="H105"/>
      <c r="I105"/>
      <c r="J105"/>
    </row>
    <row r="106" spans="1:21" s="59" customFormat="1" x14ac:dyDescent="0.2">
      <c r="A106" s="58" t="s">
        <v>303</v>
      </c>
      <c r="B106" s="91"/>
      <c r="C106" s="91"/>
      <c r="D106" s="91"/>
      <c r="E106" s="92"/>
      <c r="F106" s="92"/>
      <c r="K106" s="60"/>
      <c r="M106" s="61"/>
    </row>
    <row r="107" spans="1:21" x14ac:dyDescent="0.2">
      <c r="B107" s="43"/>
      <c r="C107" s="43"/>
      <c r="D107" s="43"/>
      <c r="E107" s="63"/>
      <c r="F107" s="63"/>
    </row>
    <row r="108" spans="1:21" s="19" customFormat="1" ht="27" x14ac:dyDescent="0.25">
      <c r="B108" s="81" t="s">
        <v>53</v>
      </c>
      <c r="C108" s="82" t="s">
        <v>138</v>
      </c>
      <c r="D108" s="71" t="s">
        <v>161</v>
      </c>
      <c r="E108" s="35" t="s">
        <v>173</v>
      </c>
      <c r="F108" s="87" t="s">
        <v>178</v>
      </c>
      <c r="G108" s="87" t="s">
        <v>179</v>
      </c>
      <c r="H108" s="36" t="s">
        <v>242</v>
      </c>
      <c r="I108" s="37" t="s">
        <v>153</v>
      </c>
      <c r="J108" s="83" t="s">
        <v>33</v>
      </c>
      <c r="O108"/>
      <c r="P108"/>
      <c r="Q108"/>
      <c r="R108"/>
      <c r="S108"/>
      <c r="T108"/>
      <c r="U108"/>
    </row>
    <row r="109" spans="1:21" x14ac:dyDescent="0.2">
      <c r="B109" s="44" t="s">
        <v>52</v>
      </c>
      <c r="C109" s="31"/>
      <c r="D109" s="93">
        <f>Flugreisen_Scop33[[#Totals],[Anzahl Flüge]]</f>
        <v>0</v>
      </c>
      <c r="E109" s="45" t="s">
        <v>174</v>
      </c>
      <c r="F109" s="31"/>
      <c r="G109" s="31"/>
      <c r="H109" s="47">
        <f>Flugreisen_Scop33[[#Totals],[Ergebnis 
(kg CO2e / Jahr)]]</f>
        <v>0</v>
      </c>
      <c r="I109" s="2"/>
      <c r="J109" s="80"/>
    </row>
    <row r="110" spans="1:21" x14ac:dyDescent="0.2">
      <c r="B110" s="69" t="s">
        <v>171</v>
      </c>
      <c r="C110" s="31"/>
      <c r="D110" s="93">
        <f>Landreisen_Scope3[[#Totals],[Anzahl Reisen]]</f>
        <v>0</v>
      </c>
      <c r="E110" s="3" t="s">
        <v>172</v>
      </c>
      <c r="F110" s="31"/>
      <c r="G110" s="31"/>
      <c r="H110" s="47">
        <f>Landreisen_Scope3[[#Totals],[Ergebnis 
(kg CO2e / Jahr)]]</f>
        <v>0</v>
      </c>
      <c r="I110" s="2"/>
      <c r="J110" s="80"/>
    </row>
    <row r="111" spans="1:21" x14ac:dyDescent="0.2">
      <c r="B111" s="79" t="s">
        <v>170</v>
      </c>
      <c r="C111" s="31"/>
      <c r="D111" s="93">
        <f>Tabelle8[Gefahrene Kilometer]</f>
        <v>0</v>
      </c>
      <c r="E111" s="3" t="s">
        <v>139</v>
      </c>
      <c r="F111" s="31"/>
      <c r="G111" s="31"/>
      <c r="H111" s="42">
        <f>Tabelle8[[#Totals],[Ergebnis 
(kg CO2e / Jahr)]]</f>
        <v>0</v>
      </c>
      <c r="I111" s="2"/>
      <c r="J111" s="80"/>
    </row>
    <row r="112" spans="1:21" x14ac:dyDescent="0.2">
      <c r="B112" s="84" t="s">
        <v>302</v>
      </c>
      <c r="C112" s="85"/>
      <c r="D112" s="85"/>
      <c r="E112" s="85"/>
      <c r="F112" s="85"/>
      <c r="G112" s="85"/>
      <c r="H112" s="47">
        <f>SUBTOTAL(109,Tabelle7[Ergebnis 
(kg CO2e / Jahr)])</f>
        <v>0</v>
      </c>
      <c r="I112" s="2"/>
      <c r="J112" s="89"/>
    </row>
    <row r="113" spans="1:13" x14ac:dyDescent="0.2">
      <c r="B113" s="43"/>
      <c r="C113" s="43"/>
      <c r="D113" s="43"/>
      <c r="E113" s="63"/>
      <c r="F113" s="63"/>
    </row>
    <row r="114" spans="1:13" s="19" customFormat="1" ht="5.0999999999999996" customHeight="1" thickBot="1" x14ac:dyDescent="0.25">
      <c r="E114" s="20"/>
      <c r="F114" s="20"/>
    </row>
    <row r="115" spans="1:13" customFormat="1" ht="15.75" customHeight="1" thickBot="1" x14ac:dyDescent="0.3">
      <c r="A115" s="310" t="s">
        <v>301</v>
      </c>
      <c r="B115" s="311"/>
      <c r="C115" s="311"/>
      <c r="D115" s="311"/>
      <c r="E115" s="311"/>
      <c r="F115" s="311"/>
      <c r="G115" s="311"/>
      <c r="H115" s="311"/>
      <c r="I115" s="311"/>
      <c r="J115" s="311"/>
      <c r="K115" s="311"/>
      <c r="L115" s="311"/>
      <c r="M115" s="312"/>
    </row>
    <row r="116" spans="1:13" customFormat="1" ht="15.75" customHeight="1" x14ac:dyDescent="0.25">
      <c r="A116" s="19"/>
      <c r="B116" s="19"/>
      <c r="C116" s="19"/>
      <c r="D116" s="19"/>
      <c r="E116" s="20"/>
      <c r="F116" s="20"/>
      <c r="G116" s="19"/>
      <c r="H116" s="19"/>
      <c r="I116" s="19"/>
      <c r="J116" s="19"/>
      <c r="K116" s="19"/>
      <c r="L116" s="19"/>
      <c r="M116" s="19"/>
    </row>
    <row r="117" spans="1:13" s="59" customFormat="1" x14ac:dyDescent="0.2">
      <c r="A117" s="62" t="s">
        <v>258</v>
      </c>
      <c r="B117" s="91"/>
      <c r="C117" s="91"/>
      <c r="D117" s="91"/>
      <c r="E117" s="92"/>
      <c r="F117" s="92"/>
      <c r="K117" s="60"/>
      <c r="M117" s="61"/>
    </row>
    <row r="118" spans="1:13" x14ac:dyDescent="0.2">
      <c r="B118" s="43"/>
      <c r="C118" s="43"/>
      <c r="D118" s="43"/>
      <c r="E118" s="63"/>
      <c r="F118" s="63"/>
    </row>
    <row r="119" spans="1:13" x14ac:dyDescent="0.2">
      <c r="B119" s="77" t="s">
        <v>114</v>
      </c>
      <c r="C119" s="78"/>
      <c r="D119" s="96" t="s">
        <v>110</v>
      </c>
      <c r="E119" s="96"/>
      <c r="F119" s="96"/>
      <c r="G119" s="96"/>
      <c r="H119" s="96"/>
      <c r="I119" s="96"/>
    </row>
    <row r="120" spans="1:13" ht="27" x14ac:dyDescent="0.25">
      <c r="B120" s="97" t="s">
        <v>157</v>
      </c>
      <c r="C120" s="82" t="s">
        <v>138</v>
      </c>
      <c r="D120" s="98" t="s">
        <v>109</v>
      </c>
      <c r="E120" s="64" t="s">
        <v>178</v>
      </c>
      <c r="F120" s="35" t="s">
        <v>257</v>
      </c>
      <c r="G120" s="105" t="s">
        <v>179</v>
      </c>
      <c r="H120" s="36" t="s">
        <v>242</v>
      </c>
      <c r="I120" s="37" t="s">
        <v>180</v>
      </c>
    </row>
    <row r="121" spans="1:13" x14ac:dyDescent="0.2">
      <c r="B121" s="38" t="s">
        <v>55</v>
      </c>
      <c r="C121" s="2"/>
      <c r="D121" s="17"/>
      <c r="E121" s="2"/>
      <c r="F121" s="99">
        <v>14.071428571428571</v>
      </c>
      <c r="G121" s="2"/>
      <c r="H121" s="102">
        <f t="shared" ref="H121:H152" si="1">D121*F121</f>
        <v>0</v>
      </c>
      <c r="I121" s="104"/>
    </row>
    <row r="122" spans="1:13" x14ac:dyDescent="0.2">
      <c r="B122" s="38" t="s">
        <v>56</v>
      </c>
      <c r="C122" s="2"/>
      <c r="D122" s="17"/>
      <c r="E122" s="2"/>
      <c r="F122" s="99">
        <v>61.457894736842093</v>
      </c>
      <c r="G122" s="2"/>
      <c r="H122" s="67">
        <f t="shared" si="1"/>
        <v>0</v>
      </c>
      <c r="I122" s="104"/>
    </row>
    <row r="123" spans="1:13" x14ac:dyDescent="0.2">
      <c r="B123" s="38" t="s">
        <v>57</v>
      </c>
      <c r="C123" s="2"/>
      <c r="D123" s="17"/>
      <c r="E123" s="2"/>
      <c r="F123" s="99">
        <v>35</v>
      </c>
      <c r="G123" s="2"/>
      <c r="H123" s="67">
        <f t="shared" si="1"/>
        <v>0</v>
      </c>
      <c r="I123" s="104"/>
    </row>
    <row r="124" spans="1:13" x14ac:dyDescent="0.2">
      <c r="B124" s="38" t="s">
        <v>58</v>
      </c>
      <c r="C124" s="2"/>
      <c r="D124" s="17"/>
      <c r="E124" s="2"/>
      <c r="F124" s="99">
        <v>61.457894736842093</v>
      </c>
      <c r="G124" s="2"/>
      <c r="H124" s="67">
        <f t="shared" si="1"/>
        <v>0</v>
      </c>
      <c r="I124" s="104"/>
    </row>
    <row r="125" spans="1:13" x14ac:dyDescent="0.2">
      <c r="B125" s="38" t="s">
        <v>59</v>
      </c>
      <c r="C125" s="2"/>
      <c r="D125" s="17"/>
      <c r="E125" s="2"/>
      <c r="F125" s="99">
        <v>12.2</v>
      </c>
      <c r="G125" s="2"/>
      <c r="H125" s="67">
        <f t="shared" si="1"/>
        <v>0</v>
      </c>
      <c r="I125" s="104"/>
    </row>
    <row r="126" spans="1:13" x14ac:dyDescent="0.2">
      <c r="B126" s="38" t="s">
        <v>60</v>
      </c>
      <c r="C126" s="2"/>
      <c r="D126" s="17"/>
      <c r="E126" s="2"/>
      <c r="F126" s="99">
        <v>8.6999999999999993</v>
      </c>
      <c r="G126" s="2"/>
      <c r="H126" s="67">
        <f t="shared" si="1"/>
        <v>0</v>
      </c>
      <c r="I126" s="104"/>
    </row>
    <row r="127" spans="1:13" x14ac:dyDescent="0.2">
      <c r="B127" s="38" t="s">
        <v>61</v>
      </c>
      <c r="C127" s="2"/>
      <c r="D127" s="17"/>
      <c r="E127" s="2"/>
      <c r="F127" s="99">
        <v>53.5</v>
      </c>
      <c r="G127" s="2"/>
      <c r="H127" s="67">
        <f t="shared" si="1"/>
        <v>0</v>
      </c>
      <c r="I127" s="104"/>
    </row>
    <row r="128" spans="1:13" x14ac:dyDescent="0.2">
      <c r="B128" s="38" t="s">
        <v>62</v>
      </c>
      <c r="C128" s="2"/>
      <c r="D128" s="17"/>
      <c r="E128" s="2"/>
      <c r="F128" s="99">
        <v>4.7</v>
      </c>
      <c r="G128" s="2"/>
      <c r="H128" s="67">
        <f t="shared" si="1"/>
        <v>0</v>
      </c>
      <c r="I128" s="104"/>
    </row>
    <row r="129" spans="2:9" x14ac:dyDescent="0.2">
      <c r="B129" s="38" t="s">
        <v>63</v>
      </c>
      <c r="C129" s="2"/>
      <c r="D129" s="17"/>
      <c r="E129" s="2"/>
      <c r="F129" s="99">
        <v>11.577777777777776</v>
      </c>
      <c r="G129" s="2"/>
      <c r="H129" s="67">
        <f t="shared" si="1"/>
        <v>0</v>
      </c>
      <c r="I129" s="104"/>
    </row>
    <row r="130" spans="2:9" x14ac:dyDescent="0.2">
      <c r="B130" s="38" t="s">
        <v>64</v>
      </c>
      <c r="C130" s="2"/>
      <c r="D130" s="17"/>
      <c r="E130" s="2"/>
      <c r="F130" s="99">
        <v>13.2</v>
      </c>
      <c r="G130" s="2"/>
      <c r="H130" s="67">
        <f t="shared" si="1"/>
        <v>0</v>
      </c>
      <c r="I130" s="104"/>
    </row>
    <row r="131" spans="2:9" x14ac:dyDescent="0.2">
      <c r="B131" s="38" t="s">
        <v>65</v>
      </c>
      <c r="C131" s="2"/>
      <c r="D131" s="17"/>
      <c r="E131" s="2"/>
      <c r="F131" s="99">
        <v>11.577777777777776</v>
      </c>
      <c r="G131" s="2"/>
      <c r="H131" s="67">
        <f t="shared" si="1"/>
        <v>0</v>
      </c>
      <c r="I131" s="104"/>
    </row>
    <row r="132" spans="2:9" x14ac:dyDescent="0.2">
      <c r="B132" s="38" t="s">
        <v>66</v>
      </c>
      <c r="C132" s="2"/>
      <c r="D132" s="17"/>
      <c r="E132" s="2"/>
      <c r="F132" s="99">
        <v>6.7</v>
      </c>
      <c r="G132" s="2"/>
      <c r="H132" s="67">
        <f t="shared" si="1"/>
        <v>0</v>
      </c>
      <c r="I132" s="104"/>
    </row>
    <row r="133" spans="2:9" x14ac:dyDescent="0.2">
      <c r="B133" s="38" t="s">
        <v>67</v>
      </c>
      <c r="C133" s="2"/>
      <c r="D133" s="17"/>
      <c r="E133" s="2"/>
      <c r="F133" s="99">
        <v>11.577777777777776</v>
      </c>
      <c r="G133" s="2"/>
      <c r="H133" s="67">
        <f t="shared" si="1"/>
        <v>0</v>
      </c>
      <c r="I133" s="104"/>
    </row>
    <row r="134" spans="2:9" x14ac:dyDescent="0.2">
      <c r="B134" s="38" t="s">
        <v>68</v>
      </c>
      <c r="C134" s="2"/>
      <c r="D134" s="17"/>
      <c r="E134" s="2"/>
      <c r="F134" s="99">
        <v>58.9</v>
      </c>
      <c r="G134" s="2"/>
      <c r="H134" s="67">
        <f t="shared" si="1"/>
        <v>0</v>
      </c>
      <c r="I134" s="104"/>
    </row>
    <row r="135" spans="2:9" x14ac:dyDescent="0.2">
      <c r="B135" s="38" t="s">
        <v>69</v>
      </c>
      <c r="C135" s="2"/>
      <c r="D135" s="17"/>
      <c r="E135" s="2"/>
      <c r="F135" s="99">
        <v>11.577777777777776</v>
      </c>
      <c r="G135" s="2"/>
      <c r="H135" s="67">
        <f t="shared" si="1"/>
        <v>0</v>
      </c>
      <c r="I135" s="104"/>
    </row>
    <row r="136" spans="2:9" x14ac:dyDescent="0.2">
      <c r="B136" s="38" t="s">
        <v>70</v>
      </c>
      <c r="C136" s="2"/>
      <c r="D136" s="17"/>
      <c r="E136" s="2"/>
      <c r="F136" s="99">
        <v>61.457894736842093</v>
      </c>
      <c r="G136" s="2"/>
      <c r="H136" s="67">
        <f t="shared" si="1"/>
        <v>0</v>
      </c>
      <c r="I136" s="104"/>
    </row>
    <row r="137" spans="2:9" x14ac:dyDescent="0.2">
      <c r="B137" s="38" t="s">
        <v>71</v>
      </c>
      <c r="C137" s="2"/>
      <c r="D137" s="17"/>
      <c r="E137" s="2"/>
      <c r="F137" s="99">
        <v>14.3</v>
      </c>
      <c r="G137" s="2"/>
      <c r="H137" s="67">
        <f t="shared" si="1"/>
        <v>0</v>
      </c>
      <c r="I137" s="104"/>
    </row>
    <row r="138" spans="2:9" x14ac:dyDescent="0.2">
      <c r="B138" s="38" t="s">
        <v>72</v>
      </c>
      <c r="C138" s="2"/>
      <c r="D138" s="17"/>
      <c r="E138" s="2"/>
      <c r="F138" s="99">
        <v>39</v>
      </c>
      <c r="G138" s="2"/>
      <c r="H138" s="67">
        <f t="shared" si="1"/>
        <v>0</v>
      </c>
      <c r="I138" s="104"/>
    </row>
    <row r="139" spans="2:9" x14ac:dyDescent="0.2">
      <c r="B139" s="38" t="s">
        <v>73</v>
      </c>
      <c r="C139" s="2"/>
      <c r="D139" s="17"/>
      <c r="E139" s="2"/>
      <c r="F139" s="99">
        <v>7.4</v>
      </c>
      <c r="G139" s="2"/>
      <c r="H139" s="67">
        <f t="shared" si="1"/>
        <v>0</v>
      </c>
      <c r="I139" s="104"/>
    </row>
    <row r="140" spans="2:9" x14ac:dyDescent="0.2">
      <c r="B140" s="38" t="s">
        <v>74</v>
      </c>
      <c r="C140" s="2"/>
      <c r="D140" s="17"/>
      <c r="E140" s="2"/>
      <c r="F140" s="99">
        <v>61.457894736842093</v>
      </c>
      <c r="G140" s="2"/>
      <c r="H140" s="67">
        <f t="shared" si="1"/>
        <v>0</v>
      </c>
      <c r="I140" s="104"/>
    </row>
    <row r="141" spans="2:9" x14ac:dyDescent="0.2">
      <c r="B141" s="38" t="s">
        <v>75</v>
      </c>
      <c r="C141" s="2"/>
      <c r="D141" s="17"/>
      <c r="E141" s="2"/>
      <c r="F141" s="99">
        <v>14.7</v>
      </c>
      <c r="G141" s="2"/>
      <c r="H141" s="67">
        <f t="shared" si="1"/>
        <v>0</v>
      </c>
      <c r="I141" s="104"/>
    </row>
    <row r="142" spans="2:9" x14ac:dyDescent="0.2">
      <c r="B142" s="38" t="s">
        <v>162</v>
      </c>
      <c r="C142" s="2"/>
      <c r="D142" s="17"/>
      <c r="E142" s="2"/>
      <c r="F142" s="99">
        <v>11.577777777777776</v>
      </c>
      <c r="G142" s="2"/>
      <c r="H142" s="67">
        <f t="shared" si="1"/>
        <v>0</v>
      </c>
      <c r="I142" s="104"/>
    </row>
    <row r="143" spans="2:9" x14ac:dyDescent="0.2">
      <c r="B143" s="38" t="s">
        <v>76</v>
      </c>
      <c r="C143" s="2"/>
      <c r="D143" s="17"/>
      <c r="E143" s="2"/>
      <c r="F143" s="99">
        <v>11.577777777777776</v>
      </c>
      <c r="G143" s="2"/>
      <c r="H143" s="67">
        <f t="shared" si="1"/>
        <v>0</v>
      </c>
      <c r="I143" s="104"/>
    </row>
    <row r="144" spans="2:9" x14ac:dyDescent="0.2">
      <c r="B144" s="38" t="s">
        <v>77</v>
      </c>
      <c r="C144" s="2"/>
      <c r="D144" s="17"/>
      <c r="E144" s="2"/>
      <c r="F144" s="99">
        <v>11.577777777777776</v>
      </c>
      <c r="G144" s="2"/>
      <c r="H144" s="67">
        <f t="shared" si="1"/>
        <v>0</v>
      </c>
      <c r="I144" s="104"/>
    </row>
    <row r="145" spans="2:9" x14ac:dyDescent="0.2">
      <c r="B145" s="38" t="s">
        <v>78</v>
      </c>
      <c r="C145" s="2"/>
      <c r="D145" s="17"/>
      <c r="E145" s="2"/>
      <c r="F145" s="99">
        <v>47.8</v>
      </c>
      <c r="G145" s="2"/>
      <c r="H145" s="67">
        <f t="shared" si="1"/>
        <v>0</v>
      </c>
      <c r="I145" s="104"/>
    </row>
    <row r="146" spans="2:9" x14ac:dyDescent="0.2">
      <c r="B146" s="38" t="s">
        <v>79</v>
      </c>
      <c r="C146" s="2"/>
      <c r="D146" s="17"/>
      <c r="E146" s="2"/>
      <c r="F146" s="99">
        <v>61.5</v>
      </c>
      <c r="G146" s="2"/>
      <c r="H146" s="67">
        <f t="shared" si="1"/>
        <v>0</v>
      </c>
      <c r="I146" s="104"/>
    </row>
    <row r="147" spans="2:9" x14ac:dyDescent="0.2">
      <c r="B147" s="38" t="s">
        <v>80</v>
      </c>
      <c r="C147" s="2"/>
      <c r="D147" s="17"/>
      <c r="E147" s="2"/>
      <c r="F147" s="99">
        <v>61.457894736842093</v>
      </c>
      <c r="G147" s="2"/>
      <c r="H147" s="67">
        <f t="shared" si="1"/>
        <v>0</v>
      </c>
      <c r="I147" s="104"/>
    </row>
    <row r="148" spans="2:9" x14ac:dyDescent="0.2">
      <c r="B148" s="38" t="s">
        <v>81</v>
      </c>
      <c r="C148" s="2"/>
      <c r="D148" s="17"/>
      <c r="E148" s="2"/>
      <c r="F148" s="99">
        <v>47.8</v>
      </c>
      <c r="G148" s="2"/>
      <c r="H148" s="67">
        <f t="shared" si="1"/>
        <v>0</v>
      </c>
      <c r="I148" s="104"/>
    </row>
    <row r="149" spans="2:9" x14ac:dyDescent="0.2">
      <c r="B149" s="38" t="s">
        <v>82</v>
      </c>
      <c r="C149" s="2"/>
      <c r="D149" s="17"/>
      <c r="E149" s="2"/>
      <c r="F149" s="99">
        <v>35</v>
      </c>
      <c r="G149" s="2"/>
      <c r="H149" s="67">
        <f t="shared" si="1"/>
        <v>0</v>
      </c>
      <c r="I149" s="104"/>
    </row>
    <row r="150" spans="2:9" x14ac:dyDescent="0.2">
      <c r="B150" s="38" t="s">
        <v>83</v>
      </c>
      <c r="C150" s="2"/>
      <c r="D150" s="17"/>
      <c r="E150" s="2"/>
      <c r="F150" s="99">
        <v>14.8</v>
      </c>
      <c r="G150" s="2"/>
      <c r="H150" s="67">
        <f t="shared" si="1"/>
        <v>0</v>
      </c>
      <c r="I150" s="104"/>
    </row>
    <row r="151" spans="2:9" x14ac:dyDescent="0.2">
      <c r="B151" s="38" t="s">
        <v>84</v>
      </c>
      <c r="C151" s="2"/>
      <c r="D151" s="17"/>
      <c r="E151" s="2"/>
      <c r="F151" s="99">
        <v>11.577777777777776</v>
      </c>
      <c r="G151" s="2"/>
      <c r="H151" s="67">
        <f t="shared" si="1"/>
        <v>0</v>
      </c>
      <c r="I151" s="104"/>
    </row>
    <row r="152" spans="2:9" x14ac:dyDescent="0.2">
      <c r="B152" s="38" t="s">
        <v>85</v>
      </c>
      <c r="C152" s="2"/>
      <c r="D152" s="17"/>
      <c r="E152" s="2"/>
      <c r="F152" s="99">
        <v>11.577777777777776</v>
      </c>
      <c r="G152" s="2"/>
      <c r="H152" s="67">
        <f t="shared" si="1"/>
        <v>0</v>
      </c>
      <c r="I152" s="104"/>
    </row>
    <row r="153" spans="2:9" x14ac:dyDescent="0.2">
      <c r="B153" s="38" t="s">
        <v>86</v>
      </c>
      <c r="C153" s="2"/>
      <c r="D153" s="17"/>
      <c r="E153" s="2"/>
      <c r="F153" s="99">
        <v>14.071428571428571</v>
      </c>
      <c r="G153" s="2"/>
      <c r="H153" s="67">
        <f t="shared" ref="H153:H174" si="2">D153*F153</f>
        <v>0</v>
      </c>
      <c r="I153" s="104"/>
    </row>
    <row r="154" spans="2:9" x14ac:dyDescent="0.2">
      <c r="B154" s="38" t="s">
        <v>87</v>
      </c>
      <c r="C154" s="2"/>
      <c r="D154" s="17"/>
      <c r="E154" s="2"/>
      <c r="F154" s="99">
        <v>11.577777777777776</v>
      </c>
      <c r="G154" s="2"/>
      <c r="H154" s="67">
        <f t="shared" si="2"/>
        <v>0</v>
      </c>
      <c r="I154" s="104"/>
    </row>
    <row r="155" spans="2:9" x14ac:dyDescent="0.2">
      <c r="B155" s="38" t="s">
        <v>88</v>
      </c>
      <c r="C155" s="2"/>
      <c r="D155" s="17"/>
      <c r="E155" s="2"/>
      <c r="F155" s="99">
        <v>19</v>
      </c>
      <c r="G155" s="2"/>
      <c r="H155" s="67">
        <f t="shared" si="2"/>
        <v>0</v>
      </c>
      <c r="I155" s="104"/>
    </row>
    <row r="156" spans="2:9" x14ac:dyDescent="0.2">
      <c r="B156" s="38" t="s">
        <v>89</v>
      </c>
      <c r="C156" s="2"/>
      <c r="D156" s="17"/>
      <c r="E156" s="2"/>
      <c r="F156" s="99">
        <v>61.457894736842093</v>
      </c>
      <c r="G156" s="2"/>
      <c r="H156" s="67">
        <f t="shared" si="2"/>
        <v>0</v>
      </c>
      <c r="I156" s="104"/>
    </row>
    <row r="157" spans="2:9" x14ac:dyDescent="0.2">
      <c r="B157" s="38" t="s">
        <v>90</v>
      </c>
      <c r="C157" s="2"/>
      <c r="D157" s="17"/>
      <c r="E157" s="2"/>
      <c r="F157" s="99">
        <v>11.577777777777776</v>
      </c>
      <c r="G157" s="2"/>
      <c r="H157" s="67">
        <f t="shared" si="2"/>
        <v>0</v>
      </c>
      <c r="I157" s="104"/>
    </row>
    <row r="158" spans="2:9" x14ac:dyDescent="0.2">
      <c r="B158" s="38" t="s">
        <v>91</v>
      </c>
      <c r="C158" s="2"/>
      <c r="D158" s="17"/>
      <c r="E158" s="2"/>
      <c r="F158" s="99">
        <v>24.2</v>
      </c>
      <c r="G158" s="2"/>
      <c r="H158" s="67">
        <f t="shared" si="2"/>
        <v>0</v>
      </c>
      <c r="I158" s="104"/>
    </row>
    <row r="159" spans="2:9" x14ac:dyDescent="0.2">
      <c r="B159" s="38" t="s">
        <v>92</v>
      </c>
      <c r="C159" s="2"/>
      <c r="D159" s="17"/>
      <c r="E159" s="2"/>
      <c r="F159" s="99">
        <v>11.577777777777776</v>
      </c>
      <c r="G159" s="2"/>
      <c r="H159" s="67">
        <f t="shared" si="2"/>
        <v>0</v>
      </c>
      <c r="I159" s="104"/>
    </row>
    <row r="160" spans="2:9" x14ac:dyDescent="0.2">
      <c r="B160" s="38" t="s">
        <v>93</v>
      </c>
      <c r="C160" s="2"/>
      <c r="D160" s="17"/>
      <c r="E160" s="2"/>
      <c r="F160" s="99">
        <v>6.6</v>
      </c>
      <c r="G160" s="2"/>
      <c r="H160" s="67">
        <f t="shared" si="2"/>
        <v>0</v>
      </c>
      <c r="I160" s="104"/>
    </row>
    <row r="161" spans="2:9" x14ac:dyDescent="0.2">
      <c r="B161" s="38" t="s">
        <v>94</v>
      </c>
      <c r="C161" s="2"/>
      <c r="D161" s="17"/>
      <c r="E161" s="2"/>
      <c r="F161" s="99">
        <v>11.577777777777776</v>
      </c>
      <c r="G161" s="2"/>
      <c r="H161" s="67">
        <f t="shared" si="2"/>
        <v>0</v>
      </c>
      <c r="I161" s="104"/>
    </row>
    <row r="162" spans="2:9" x14ac:dyDescent="0.2">
      <c r="B162" s="38" t="s">
        <v>95</v>
      </c>
      <c r="C162" s="2"/>
      <c r="D162" s="17"/>
      <c r="E162" s="2"/>
      <c r="F162" s="99">
        <v>24.5</v>
      </c>
      <c r="G162" s="2"/>
      <c r="H162" s="67">
        <f t="shared" si="2"/>
        <v>0</v>
      </c>
      <c r="I162" s="104"/>
    </row>
    <row r="163" spans="2:9" x14ac:dyDescent="0.2">
      <c r="B163" s="38" t="s">
        <v>96</v>
      </c>
      <c r="C163" s="2"/>
      <c r="D163" s="17"/>
      <c r="E163" s="2"/>
      <c r="F163" s="99">
        <v>11.577777777777776</v>
      </c>
      <c r="G163" s="2"/>
      <c r="H163" s="67">
        <f t="shared" si="2"/>
        <v>0</v>
      </c>
      <c r="I163" s="104"/>
    </row>
    <row r="164" spans="2:9" x14ac:dyDescent="0.2">
      <c r="B164" s="38" t="s">
        <v>97</v>
      </c>
      <c r="C164" s="2"/>
      <c r="D164" s="17"/>
      <c r="E164" s="2"/>
      <c r="F164" s="99">
        <v>11.577777777777776</v>
      </c>
      <c r="G164" s="2"/>
      <c r="H164" s="67">
        <f t="shared" si="2"/>
        <v>0</v>
      </c>
      <c r="I164" s="104"/>
    </row>
    <row r="165" spans="2:9" x14ac:dyDescent="0.2">
      <c r="B165" s="38" t="s">
        <v>98</v>
      </c>
      <c r="C165" s="2"/>
      <c r="D165" s="17"/>
      <c r="E165" s="2"/>
      <c r="F165" s="99">
        <v>7</v>
      </c>
      <c r="G165" s="2"/>
      <c r="H165" s="67">
        <f t="shared" si="2"/>
        <v>0</v>
      </c>
      <c r="I165" s="104"/>
    </row>
    <row r="166" spans="2:9" x14ac:dyDescent="0.2">
      <c r="B166" s="38" t="s">
        <v>99</v>
      </c>
      <c r="C166" s="2"/>
      <c r="D166" s="17"/>
      <c r="E166" s="2"/>
      <c r="F166" s="99">
        <v>51.4</v>
      </c>
      <c r="G166" s="2"/>
      <c r="H166" s="67">
        <f t="shared" si="2"/>
        <v>0</v>
      </c>
      <c r="I166" s="104"/>
    </row>
    <row r="167" spans="2:9" x14ac:dyDescent="0.2">
      <c r="B167" s="38" t="s">
        <v>100</v>
      </c>
      <c r="C167" s="2"/>
      <c r="D167" s="17"/>
      <c r="E167" s="2"/>
      <c r="F167" s="99">
        <v>61.457894736842093</v>
      </c>
      <c r="G167" s="2"/>
      <c r="H167" s="67">
        <f t="shared" si="2"/>
        <v>0</v>
      </c>
      <c r="I167" s="104"/>
    </row>
    <row r="168" spans="2:9" x14ac:dyDescent="0.2">
      <c r="B168" s="38" t="s">
        <v>101</v>
      </c>
      <c r="C168" s="2"/>
      <c r="D168" s="17"/>
      <c r="E168" s="2"/>
      <c r="F168" s="99">
        <v>43.4</v>
      </c>
      <c r="G168" s="2"/>
      <c r="H168" s="67">
        <f t="shared" si="2"/>
        <v>0</v>
      </c>
      <c r="I168" s="104"/>
    </row>
    <row r="169" spans="2:9" x14ac:dyDescent="0.2">
      <c r="B169" s="38" t="s">
        <v>102</v>
      </c>
      <c r="C169" s="2"/>
      <c r="D169" s="17"/>
      <c r="E169" s="2"/>
      <c r="F169" s="99">
        <v>11.577777777777776</v>
      </c>
      <c r="G169" s="2"/>
      <c r="H169" s="67">
        <f t="shared" si="2"/>
        <v>0</v>
      </c>
      <c r="I169" s="104"/>
    </row>
    <row r="170" spans="2:9" x14ac:dyDescent="0.2">
      <c r="B170" s="38" t="s">
        <v>103</v>
      </c>
      <c r="C170" s="2"/>
      <c r="D170" s="17"/>
      <c r="E170" s="2"/>
      <c r="F170" s="99">
        <v>32.1</v>
      </c>
      <c r="G170" s="2"/>
      <c r="H170" s="67">
        <f t="shared" si="2"/>
        <v>0</v>
      </c>
      <c r="I170" s="104"/>
    </row>
    <row r="171" spans="2:9" x14ac:dyDescent="0.2">
      <c r="B171" s="38" t="s">
        <v>104</v>
      </c>
      <c r="C171" s="2"/>
      <c r="D171" s="17"/>
      <c r="E171" s="2"/>
      <c r="F171" s="99">
        <v>11.577777777777776</v>
      </c>
      <c r="G171" s="2"/>
      <c r="H171" s="67">
        <f t="shared" si="2"/>
        <v>0</v>
      </c>
      <c r="I171" s="104"/>
    </row>
    <row r="172" spans="2:9" x14ac:dyDescent="0.2">
      <c r="B172" s="38" t="s">
        <v>105</v>
      </c>
      <c r="C172" s="2"/>
      <c r="D172" s="17"/>
      <c r="E172" s="2"/>
      <c r="F172" s="99">
        <v>63.8</v>
      </c>
      <c r="G172" s="2"/>
      <c r="H172" s="67">
        <f t="shared" si="2"/>
        <v>0</v>
      </c>
      <c r="I172" s="104"/>
    </row>
    <row r="173" spans="2:9" x14ac:dyDescent="0.2">
      <c r="B173" s="38" t="s">
        <v>106</v>
      </c>
      <c r="C173" s="2"/>
      <c r="D173" s="17"/>
      <c r="E173" s="2"/>
      <c r="F173" s="99">
        <v>16.100000000000001</v>
      </c>
      <c r="G173" s="2"/>
      <c r="H173" s="67">
        <f t="shared" si="2"/>
        <v>0</v>
      </c>
      <c r="I173" s="104"/>
    </row>
    <row r="174" spans="2:9" x14ac:dyDescent="0.2">
      <c r="B174" s="38" t="s">
        <v>107</v>
      </c>
      <c r="C174" s="2"/>
      <c r="D174" s="18"/>
      <c r="E174" s="2"/>
      <c r="F174" s="99">
        <v>10.4</v>
      </c>
      <c r="G174" s="2"/>
      <c r="H174" s="103">
        <f t="shared" si="2"/>
        <v>0</v>
      </c>
      <c r="I174" s="104"/>
    </row>
    <row r="175" spans="2:9" x14ac:dyDescent="0.2">
      <c r="B175" s="1" t="s">
        <v>304</v>
      </c>
      <c r="C175" s="2"/>
      <c r="D175" s="2"/>
      <c r="E175" s="2"/>
      <c r="F175" s="2"/>
      <c r="G175" s="2"/>
      <c r="H175" s="47">
        <f>SUM(H121:H174)</f>
        <v>0</v>
      </c>
      <c r="I175" s="104"/>
    </row>
    <row r="177" spans="1:14" s="19" customFormat="1" ht="5.0999999999999996" customHeight="1" thickBot="1" x14ac:dyDescent="0.25">
      <c r="E177" s="20"/>
      <c r="F177" s="20"/>
    </row>
    <row r="178" spans="1:14" customFormat="1" ht="15.75" customHeight="1" thickBot="1" x14ac:dyDescent="0.3">
      <c r="A178" s="310" t="s">
        <v>238</v>
      </c>
      <c r="B178" s="311"/>
      <c r="C178" s="311"/>
      <c r="D178" s="311"/>
      <c r="E178" s="311"/>
      <c r="F178" s="311"/>
      <c r="G178" s="311"/>
      <c r="H178" s="311"/>
      <c r="I178" s="311"/>
      <c r="J178" s="311"/>
      <c r="K178" s="311"/>
      <c r="L178" s="311"/>
      <c r="M178" s="312"/>
    </row>
    <row r="180" spans="1:14" x14ac:dyDescent="0.2">
      <c r="A180" s="58" t="s">
        <v>255</v>
      </c>
      <c r="B180" s="59"/>
      <c r="C180" s="59"/>
      <c r="D180" s="60"/>
      <c r="E180" s="60"/>
      <c r="F180" s="60"/>
      <c r="G180" s="60"/>
      <c r="H180" s="60"/>
      <c r="I180" s="60"/>
      <c r="J180" s="60"/>
      <c r="K180" s="60"/>
      <c r="L180" s="59"/>
      <c r="M180" s="61"/>
    </row>
    <row r="181" spans="1:14" x14ac:dyDescent="0.2">
      <c r="A181" s="43"/>
      <c r="E181" s="50"/>
      <c r="F181" s="50"/>
    </row>
    <row r="182" spans="1:14" ht="27" x14ac:dyDescent="0.25">
      <c r="A182" s="43"/>
      <c r="B182" s="34" t="s">
        <v>227</v>
      </c>
      <c r="C182" s="34" t="s">
        <v>175</v>
      </c>
      <c r="D182" s="82" t="s">
        <v>138</v>
      </c>
      <c r="E182" s="87" t="s">
        <v>178</v>
      </c>
      <c r="F182" s="87" t="s">
        <v>179</v>
      </c>
      <c r="G182" s="87" t="s">
        <v>231</v>
      </c>
      <c r="H182" s="235" t="s">
        <v>243</v>
      </c>
      <c r="I182" s="43"/>
      <c r="J182" s="43"/>
      <c r="K182" s="43"/>
    </row>
    <row r="183" spans="1:14" x14ac:dyDescent="0.2">
      <c r="B183" s="38" t="s">
        <v>50</v>
      </c>
      <c r="C183" s="2"/>
      <c r="D183" s="2"/>
      <c r="E183" s="2"/>
      <c r="F183" s="2"/>
      <c r="G183" s="2"/>
      <c r="H183" s="42">
        <f>H109</f>
        <v>0</v>
      </c>
    </row>
    <row r="184" spans="1:14" x14ac:dyDescent="0.2">
      <c r="B184" s="38" t="s">
        <v>172</v>
      </c>
      <c r="C184" s="2"/>
      <c r="D184" s="2"/>
      <c r="E184" s="2"/>
      <c r="F184" s="2"/>
      <c r="G184" s="2"/>
      <c r="H184" s="42">
        <f>H110</f>
        <v>0</v>
      </c>
    </row>
    <row r="185" spans="1:14" x14ac:dyDescent="0.2">
      <c r="B185" s="38" t="s">
        <v>236</v>
      </c>
      <c r="C185" s="2"/>
      <c r="D185" s="2"/>
      <c r="E185" s="2"/>
      <c r="F185" s="2"/>
      <c r="G185" s="2"/>
      <c r="H185" s="42">
        <f>H111</f>
        <v>0</v>
      </c>
    </row>
    <row r="186" spans="1:14" ht="15" x14ac:dyDescent="0.25">
      <c r="B186" s="44" t="s">
        <v>237</v>
      </c>
      <c r="C186" s="2"/>
      <c r="D186" s="2"/>
      <c r="E186" s="2"/>
      <c r="F186" s="2"/>
      <c r="G186" s="2"/>
      <c r="H186" s="47">
        <f>Hotel_stay_Scope_3[[#Totals],[Ergebnis 
(kg CO2e / Jahr)]]</f>
        <v>0</v>
      </c>
      <c r="J186"/>
      <c r="K186"/>
      <c r="L186"/>
      <c r="M186"/>
      <c r="N186"/>
    </row>
    <row r="187" spans="1:14" ht="15" x14ac:dyDescent="0.25">
      <c r="B187" s="268" t="s">
        <v>256</v>
      </c>
      <c r="C187" s="269"/>
      <c r="D187" s="269"/>
      <c r="E187" s="269"/>
      <c r="F187" s="269"/>
      <c r="G187" s="269"/>
      <c r="H187" s="270">
        <f>SUBTOTAL(109,Geschäftsreisen_Gesamt[Ergebnis 
'[kg CO2e / Jahr']])</f>
        <v>0</v>
      </c>
      <c r="I187" s="317" t="s">
        <v>307</v>
      </c>
      <c r="J187" s="317"/>
      <c r="K187" s="317"/>
      <c r="L187"/>
      <c r="M187"/>
      <c r="N187"/>
    </row>
  </sheetData>
  <sheetProtection algorithmName="SHA-512" hashValue="T6UVBc9XGfnp6JMKJIZ1mvCfp7McOYG54+wzBD1OkF+lPWWXjJGeIkmrHrrDK8w7lTIo8R2CIYcr3Z9PIAIjVA==" saltValue="rb/Rpl7tb5c/pL/Nb71e9Q==" spinCount="100000" sheet="1" objects="1" scenarios="1"/>
  <protectedRanges>
    <protectedRange sqref="D121:D174" name="Hotelübernachtungen"/>
    <protectedRange sqref="D102" name="Privat PWK"/>
    <protectedRange algorithmName="SHA-512" hashValue="HW+jLE+154B9KqWkeGAjoQGcbCLd25RHAZXlaIQX5MUmwwMbjrtqF8YUmDXNPVBooznIP9rmMBkXTeOfluMf7g==" saltValue="K3MEbatdHAsrcGXHTjqdlg==" spinCount="100000" sqref="D21:D75" name="Flugziele"/>
    <protectedRange algorithmName="SHA-512" hashValue="iOWFjkkICcD3UuKHL7/8i6JAFr8NLRML6AtcbK+K4dkHnoM6mZHLA7Y/KyQEJELwjLbRRm+Cqf0JmGAzoGuk8g==" saltValue="mte4OaFDc2ivngmTVuGtHA==" spinCount="100000" sqref="D93:D95" name="Bahnreisen"/>
  </protectedRanges>
  <mergeCells count="10">
    <mergeCell ref="I187:K187"/>
    <mergeCell ref="A178:M178"/>
    <mergeCell ref="A115:M115"/>
    <mergeCell ref="B2:L2"/>
    <mergeCell ref="B3:L3"/>
    <mergeCell ref="A16:M16"/>
    <mergeCell ref="B4:L6"/>
    <mergeCell ref="D8:D12"/>
    <mergeCell ref="H8:H12"/>
    <mergeCell ref="I8:I12"/>
  </mergeCells>
  <dataValidations count="1">
    <dataValidation allowBlank="1" showInputMessage="1" sqref="H108 H80 H92 H101 H120 H182" xr:uid="{00000000-0002-0000-0100-000000000000}"/>
  </dataValidations>
  <pageMargins left="0.7" right="0.7" top="0.78740157499999996" bottom="0.78740157499999996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3"/>
  <sheetViews>
    <sheetView topLeftCell="B10" zoomScale="67" zoomScaleNormal="100" workbookViewId="0">
      <selection activeCell="C56" sqref="C56"/>
    </sheetView>
  </sheetViews>
  <sheetFormatPr defaultColWidth="11.42578125" defaultRowHeight="12.75" x14ac:dyDescent="0.2"/>
  <cols>
    <col min="1" max="1" width="11.42578125" style="50"/>
    <col min="2" max="2" width="31.42578125" style="50" customWidth="1"/>
    <col min="3" max="3" width="33.140625" style="50" customWidth="1"/>
    <col min="4" max="4" width="37.7109375" style="50" customWidth="1"/>
    <col min="5" max="5" width="32.28515625" style="101" customWidth="1"/>
    <col min="6" max="6" width="18.42578125" style="101" bestFit="1" customWidth="1"/>
    <col min="7" max="11" width="13.42578125" style="101" customWidth="1"/>
    <col min="12" max="16384" width="11.42578125" style="50"/>
  </cols>
  <sheetData>
    <row r="1" spans="1:20" ht="12.75" customHeight="1" thickBot="1" x14ac:dyDescent="0.25">
      <c r="E1" s="50"/>
      <c r="F1" s="50"/>
      <c r="G1" s="106"/>
      <c r="H1" s="106"/>
      <c r="I1" s="50"/>
      <c r="J1" s="50"/>
      <c r="K1" s="50"/>
      <c r="L1" s="106"/>
      <c r="M1" s="106"/>
    </row>
    <row r="2" spans="1:20" ht="12.75" customHeight="1" thickBot="1" x14ac:dyDescent="0.25">
      <c r="A2" s="107"/>
      <c r="B2" s="301" t="s">
        <v>279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108"/>
      <c r="N2" s="109"/>
    </row>
    <row r="3" spans="1:20" ht="12.75" customHeight="1" thickBot="1" x14ac:dyDescent="0.25">
      <c r="A3" s="49"/>
      <c r="B3" s="318" t="s">
        <v>226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20" ht="12.75" customHeight="1" x14ac:dyDescent="0.2">
      <c r="B4" s="319" t="s">
        <v>182</v>
      </c>
      <c r="C4" s="320"/>
      <c r="D4" s="320"/>
      <c r="E4" s="320"/>
      <c r="F4" s="320"/>
      <c r="G4" s="320"/>
      <c r="H4" s="320"/>
      <c r="I4" s="320"/>
      <c r="J4" s="320"/>
      <c r="K4" s="320"/>
      <c r="L4" s="321"/>
      <c r="P4" s="100"/>
      <c r="Q4" s="100"/>
      <c r="R4" s="100"/>
      <c r="S4" s="100"/>
      <c r="T4" s="100"/>
    </row>
    <row r="5" spans="1:20" ht="12.75" customHeight="1" x14ac:dyDescent="0.2">
      <c r="B5" s="322"/>
      <c r="C5" s="323"/>
      <c r="D5" s="323"/>
      <c r="E5" s="323"/>
      <c r="F5" s="323"/>
      <c r="G5" s="323"/>
      <c r="H5" s="323"/>
      <c r="I5" s="323"/>
      <c r="J5" s="323"/>
      <c r="K5" s="323"/>
      <c r="L5" s="324"/>
      <c r="P5" s="100"/>
      <c r="Q5" s="100"/>
      <c r="R5" s="100"/>
      <c r="S5" s="100"/>
      <c r="T5" s="100"/>
    </row>
    <row r="6" spans="1:20" ht="12.75" customHeight="1" x14ac:dyDescent="0.2">
      <c r="B6" s="322"/>
      <c r="C6" s="323"/>
      <c r="D6" s="323"/>
      <c r="E6" s="323"/>
      <c r="F6" s="323"/>
      <c r="G6" s="323"/>
      <c r="H6" s="323"/>
      <c r="I6" s="323"/>
      <c r="J6" s="323"/>
      <c r="K6" s="323"/>
      <c r="L6" s="324"/>
      <c r="P6" s="100"/>
      <c r="Q6" s="100"/>
      <c r="R6" s="100"/>
      <c r="S6" s="100"/>
      <c r="T6" s="100"/>
    </row>
    <row r="7" spans="1:20" s="55" customFormat="1" ht="12.75" customHeight="1" x14ac:dyDescent="0.2">
      <c r="B7" s="54" t="s">
        <v>137</v>
      </c>
      <c r="D7" s="22" t="s">
        <v>119</v>
      </c>
      <c r="E7" s="22"/>
      <c r="F7" s="22" t="s">
        <v>120</v>
      </c>
      <c r="G7" s="152" t="s">
        <v>186</v>
      </c>
      <c r="H7" s="22"/>
      <c r="K7" s="56"/>
      <c r="L7" s="23"/>
      <c r="P7" s="100"/>
      <c r="Q7" s="100"/>
      <c r="R7" s="100"/>
      <c r="S7" s="100"/>
      <c r="T7" s="100"/>
    </row>
    <row r="8" spans="1:20" ht="12.75" customHeight="1" x14ac:dyDescent="0.2">
      <c r="B8" s="110"/>
      <c r="C8" s="38"/>
      <c r="D8" s="325" t="s">
        <v>122</v>
      </c>
      <c r="E8" s="40"/>
      <c r="F8" s="328" t="s">
        <v>122</v>
      </c>
      <c r="G8" s="50" t="s">
        <v>187</v>
      </c>
      <c r="H8" s="50"/>
      <c r="I8" s="50"/>
      <c r="J8" s="50"/>
      <c r="K8" s="53"/>
      <c r="L8" s="111"/>
      <c r="P8" s="100"/>
      <c r="Q8" s="100"/>
      <c r="R8" s="100"/>
      <c r="S8" s="100"/>
      <c r="T8" s="100"/>
    </row>
    <row r="9" spans="1:20" ht="12.75" customHeight="1" x14ac:dyDescent="0.2">
      <c r="B9" s="110"/>
      <c r="C9" s="38"/>
      <c r="D9" s="326"/>
      <c r="E9" s="40"/>
      <c r="F9" s="329"/>
      <c r="G9" s="130">
        <v>0.05</v>
      </c>
      <c r="H9" s="130">
        <v>0.05</v>
      </c>
      <c r="I9" s="130">
        <v>0.1</v>
      </c>
      <c r="J9" s="50"/>
      <c r="K9" s="53"/>
      <c r="L9" s="111"/>
      <c r="P9" s="100"/>
      <c r="Q9" s="100"/>
      <c r="R9" s="100"/>
      <c r="S9" s="100"/>
      <c r="T9" s="100"/>
    </row>
    <row r="10" spans="1:20" ht="12.75" customHeight="1" x14ac:dyDescent="0.2">
      <c r="B10" s="110"/>
      <c r="C10" s="38"/>
      <c r="D10" s="326"/>
      <c r="E10" s="40"/>
      <c r="F10" s="329"/>
      <c r="G10" s="130">
        <v>0.1</v>
      </c>
      <c r="H10" s="130">
        <v>0.2</v>
      </c>
      <c r="I10" s="130">
        <v>0.05</v>
      </c>
      <c r="J10" s="50"/>
      <c r="K10" s="53"/>
      <c r="L10" s="111"/>
      <c r="P10" s="100"/>
      <c r="Q10" s="100"/>
      <c r="R10" s="100"/>
      <c r="S10" s="100"/>
      <c r="T10" s="100"/>
    </row>
    <row r="11" spans="1:20" ht="12.75" customHeight="1" x14ac:dyDescent="0.2">
      <c r="B11" s="110"/>
      <c r="C11" s="38"/>
      <c r="D11" s="326"/>
      <c r="E11" s="40"/>
      <c r="F11" s="329"/>
      <c r="G11" s="50"/>
      <c r="H11" s="50"/>
      <c r="I11" s="50"/>
      <c r="J11" s="50"/>
      <c r="K11" s="53"/>
      <c r="L11" s="111"/>
      <c r="P11" s="100"/>
      <c r="Q11" s="100"/>
      <c r="R11" s="100"/>
      <c r="S11" s="100"/>
      <c r="T11" s="100"/>
    </row>
    <row r="12" spans="1:20" ht="12.75" customHeight="1" thickBot="1" x14ac:dyDescent="0.25">
      <c r="B12" s="112"/>
      <c r="C12" s="113"/>
      <c r="D12" s="327"/>
      <c r="E12" s="114"/>
      <c r="F12" s="330"/>
      <c r="G12" s="52"/>
      <c r="H12" s="52"/>
      <c r="I12" s="52"/>
      <c r="J12" s="52"/>
      <c r="K12" s="116"/>
      <c r="L12" s="117"/>
      <c r="P12" s="100"/>
      <c r="Q12" s="100"/>
      <c r="R12" s="100"/>
      <c r="S12" s="100"/>
      <c r="T12" s="100"/>
    </row>
    <row r="13" spans="1:20" ht="12.75" customHeight="1" x14ac:dyDescent="0.2">
      <c r="E13" s="50"/>
      <c r="F13" s="50"/>
      <c r="G13" s="50"/>
      <c r="H13" s="50"/>
      <c r="I13" s="50"/>
      <c r="J13" s="50"/>
      <c r="K13" s="50"/>
      <c r="P13" s="100"/>
      <c r="Q13" s="100"/>
      <c r="R13" s="100"/>
      <c r="S13" s="100"/>
      <c r="T13" s="100"/>
    </row>
    <row r="14" spans="1:20" ht="13.5" thickBot="1" x14ac:dyDescent="0.25">
      <c r="G14" s="50"/>
      <c r="H14" s="50"/>
      <c r="I14" s="50"/>
      <c r="J14" s="50"/>
      <c r="K14" s="50"/>
    </row>
    <row r="15" spans="1:20" s="100" customFormat="1" ht="15.75" customHeight="1" thickBot="1" x14ac:dyDescent="0.25">
      <c r="A15" s="310" t="s">
        <v>4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2"/>
    </row>
    <row r="17" spans="1:13" ht="5.0999999999999996" customHeight="1" x14ac:dyDescent="0.2">
      <c r="D17" s="119"/>
      <c r="E17" s="120"/>
      <c r="F17" s="120"/>
      <c r="G17" s="120"/>
      <c r="H17" s="120"/>
      <c r="I17" s="120"/>
      <c r="J17" s="120"/>
      <c r="K17" s="120"/>
    </row>
    <row r="18" spans="1:13" x14ac:dyDescent="0.2">
      <c r="A18" s="58" t="s">
        <v>261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3" ht="15.75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2">
      <c r="C20" s="50" t="s">
        <v>1</v>
      </c>
      <c r="D20" s="119"/>
      <c r="E20" s="120"/>
      <c r="F20" s="120"/>
      <c r="G20" s="120"/>
      <c r="H20" s="120"/>
      <c r="I20" s="120"/>
      <c r="J20" s="120"/>
      <c r="K20" s="120"/>
    </row>
    <row r="21" spans="1:13" x14ac:dyDescent="0.2">
      <c r="C21" s="50" t="s">
        <v>2</v>
      </c>
      <c r="D21" s="119"/>
      <c r="E21" s="120"/>
      <c r="F21" s="120"/>
      <c r="G21" s="120"/>
      <c r="H21" s="120"/>
      <c r="I21" s="120"/>
      <c r="J21" s="120"/>
      <c r="K21" s="120"/>
    </row>
    <row r="22" spans="1:13" x14ac:dyDescent="0.2">
      <c r="D22" s="119"/>
      <c r="E22" s="120"/>
      <c r="F22" s="120"/>
      <c r="G22" s="120"/>
      <c r="H22" s="120"/>
      <c r="I22" s="120"/>
      <c r="J22" s="120"/>
      <c r="K22" s="120"/>
    </row>
    <row r="23" spans="1:13" x14ac:dyDescent="0.2">
      <c r="B23" s="77" t="s">
        <v>115</v>
      </c>
      <c r="C23" s="2"/>
      <c r="D23" s="151"/>
      <c r="E23" s="2"/>
      <c r="G23" s="120"/>
      <c r="H23" s="120"/>
      <c r="I23" s="120"/>
      <c r="J23" s="120"/>
      <c r="K23" s="120"/>
    </row>
    <row r="24" spans="1:13" x14ac:dyDescent="0.2">
      <c r="B24" s="120"/>
      <c r="C24" s="43"/>
      <c r="D24" s="120"/>
      <c r="E24" s="120"/>
      <c r="G24" s="120"/>
      <c r="H24" s="120"/>
      <c r="I24" s="120"/>
      <c r="J24" s="120"/>
      <c r="K24" s="120"/>
    </row>
    <row r="25" spans="1:13" s="101" customFormat="1" ht="15" customHeight="1" x14ac:dyDescent="0.2">
      <c r="B25" s="211" t="s">
        <v>183</v>
      </c>
      <c r="C25" s="211"/>
      <c r="D25" s="121" t="s">
        <v>118</v>
      </c>
      <c r="E25" s="212" t="s">
        <v>17</v>
      </c>
      <c r="G25" s="120"/>
      <c r="H25" s="120"/>
      <c r="I25" s="120"/>
      <c r="J25" s="120"/>
      <c r="K25" s="120"/>
    </row>
    <row r="26" spans="1:13" x14ac:dyDescent="0.2">
      <c r="B26" s="148" t="s">
        <v>185</v>
      </c>
      <c r="C26" s="2"/>
      <c r="D26" s="122"/>
      <c r="E26" s="123">
        <v>220</v>
      </c>
      <c r="G26" s="120"/>
      <c r="H26" s="120"/>
      <c r="I26" s="120"/>
      <c r="J26" s="120"/>
      <c r="K26" s="120"/>
    </row>
    <row r="27" spans="1:13" x14ac:dyDescent="0.2">
      <c r="B27" s="124" t="s">
        <v>184</v>
      </c>
      <c r="C27" s="2"/>
      <c r="D27" s="122"/>
      <c r="E27" s="123">
        <v>100</v>
      </c>
      <c r="G27" s="120"/>
      <c r="H27" s="120"/>
      <c r="I27" s="120"/>
      <c r="J27" s="120"/>
      <c r="K27" s="120"/>
    </row>
    <row r="28" spans="1:13" x14ac:dyDescent="0.2">
      <c r="B28" s="149" t="s">
        <v>18</v>
      </c>
      <c r="C28" s="2"/>
      <c r="D28" s="150">
        <f>D27+D26</f>
        <v>0</v>
      </c>
      <c r="E28" s="123">
        <f>SUMPRODUCT(E26:E27,D26:D27)</f>
        <v>0</v>
      </c>
      <c r="G28" s="120"/>
      <c r="H28" s="120"/>
      <c r="I28" s="120"/>
      <c r="J28" s="120"/>
      <c r="K28" s="120"/>
    </row>
    <row r="29" spans="1:13" x14ac:dyDescent="0.2">
      <c r="B29" s="77" t="s">
        <v>116</v>
      </c>
      <c r="C29" s="2"/>
      <c r="D29" s="2"/>
      <c r="E29" s="159">
        <f>+D23*E28</f>
        <v>0</v>
      </c>
      <c r="G29" s="120"/>
      <c r="H29" s="120"/>
      <c r="I29" s="120"/>
      <c r="J29" s="120"/>
      <c r="K29" s="120"/>
    </row>
    <row r="30" spans="1:13" x14ac:dyDescent="0.2">
      <c r="C30" s="120"/>
      <c r="D30" s="43"/>
      <c r="E30" s="120"/>
      <c r="F30" s="120"/>
      <c r="G30" s="120"/>
      <c r="H30" s="120"/>
      <c r="I30" s="120"/>
      <c r="J30" s="120"/>
      <c r="K30" s="120"/>
    </row>
    <row r="31" spans="1:13" ht="5.0999999999999996" customHeight="1" x14ac:dyDescent="0.2">
      <c r="D31" s="119"/>
      <c r="E31" s="120"/>
      <c r="F31" s="120"/>
      <c r="G31" s="120"/>
      <c r="H31" s="120"/>
      <c r="I31" s="120"/>
      <c r="J31" s="120"/>
      <c r="K31" s="120"/>
    </row>
    <row r="32" spans="1:13" x14ac:dyDescent="0.2">
      <c r="A32" s="58" t="s">
        <v>262</v>
      </c>
      <c r="B32" s="59"/>
      <c r="C32" s="59"/>
      <c r="D32" s="60"/>
      <c r="E32" s="60"/>
      <c r="F32" s="60"/>
      <c r="G32" s="60"/>
      <c r="H32" s="60"/>
      <c r="I32" s="60"/>
      <c r="J32" s="60"/>
      <c r="K32" s="60"/>
      <c r="L32" s="59"/>
      <c r="M32" s="61"/>
    </row>
    <row r="33" spans="1:11" x14ac:dyDescent="0.2">
      <c r="A33" s="154"/>
      <c r="D33" s="101"/>
    </row>
    <row r="34" spans="1:11" ht="15" customHeight="1" x14ac:dyDescent="0.2">
      <c r="B34" s="153" t="s">
        <v>189</v>
      </c>
      <c r="C34" s="125"/>
      <c r="D34" s="125"/>
      <c r="E34" s="125"/>
      <c r="F34" s="125"/>
      <c r="G34" s="125"/>
      <c r="H34" s="125"/>
      <c r="I34" s="125"/>
      <c r="J34" s="125"/>
    </row>
    <row r="35" spans="1:11" x14ac:dyDescent="0.2">
      <c r="B35" s="153" t="s">
        <v>188</v>
      </c>
      <c r="C35" s="125"/>
      <c r="D35" s="125"/>
      <c r="E35" s="125"/>
      <c r="F35" s="125"/>
      <c r="G35" s="125"/>
      <c r="H35" s="125"/>
      <c r="I35" s="126"/>
      <c r="J35" s="126"/>
    </row>
    <row r="36" spans="1:11" ht="30.75" customHeight="1" x14ac:dyDescent="0.2">
      <c r="B36" s="339" t="s">
        <v>299</v>
      </c>
      <c r="C36" s="339"/>
      <c r="D36" s="339"/>
      <c r="E36" s="339"/>
      <c r="F36" s="339"/>
      <c r="G36" s="339"/>
      <c r="H36" s="339"/>
      <c r="I36" s="339"/>
      <c r="J36" s="339"/>
      <c r="K36" s="339"/>
    </row>
    <row r="37" spans="1:11" s="101" customFormat="1" ht="15" customHeight="1" x14ac:dyDescent="0.2">
      <c r="B37" s="334" t="s">
        <v>191</v>
      </c>
      <c r="C37" s="335"/>
      <c r="D37" s="335"/>
      <c r="E37" s="336"/>
      <c r="F37" s="208"/>
      <c r="G37" s="337" t="s">
        <v>190</v>
      </c>
      <c r="H37" s="338"/>
      <c r="I37" s="338"/>
      <c r="J37" s="338"/>
      <c r="K37" s="338"/>
    </row>
    <row r="38" spans="1:11" s="101" customFormat="1" ht="25.5" x14ac:dyDescent="0.2">
      <c r="B38" s="209" t="s">
        <v>3</v>
      </c>
      <c r="C38" s="35" t="s">
        <v>4</v>
      </c>
      <c r="D38" s="35" t="s">
        <v>111</v>
      </c>
      <c r="E38" s="35" t="s">
        <v>5</v>
      </c>
      <c r="F38" s="87" t="s">
        <v>138</v>
      </c>
      <c r="G38" s="35" t="s">
        <v>6</v>
      </c>
      <c r="H38" s="35" t="s">
        <v>7</v>
      </c>
      <c r="I38" s="35" t="s">
        <v>8</v>
      </c>
      <c r="J38" s="35" t="s">
        <v>9</v>
      </c>
      <c r="K38" s="35" t="s">
        <v>112</v>
      </c>
    </row>
    <row r="39" spans="1:11" x14ac:dyDescent="0.2">
      <c r="B39" s="38" t="s">
        <v>3</v>
      </c>
      <c r="C39" s="128" t="s">
        <v>10</v>
      </c>
      <c r="D39" s="122"/>
      <c r="E39" s="129">
        <v>2.1177699228791775</v>
      </c>
      <c r="F39" s="2"/>
      <c r="G39" s="164">
        <v>0.1322163461719057</v>
      </c>
      <c r="H39" s="164">
        <v>0.74469274753808712</v>
      </c>
      <c r="I39" s="164">
        <v>1.7371161851921293E-2</v>
      </c>
      <c r="J39" s="164">
        <v>6.6317932646107608E-2</v>
      </c>
      <c r="K39" s="164">
        <v>3.9401811791978249E-2</v>
      </c>
    </row>
    <row r="40" spans="1:11" x14ac:dyDescent="0.2">
      <c r="B40" s="38" t="s">
        <v>3</v>
      </c>
      <c r="C40" s="128" t="s">
        <v>11</v>
      </c>
      <c r="D40" s="122"/>
      <c r="E40" s="129">
        <v>6.5784459660613281</v>
      </c>
      <c r="F40" s="2"/>
      <c r="G40" s="130">
        <v>8.3745560257507609E-3</v>
      </c>
      <c r="H40" s="130">
        <v>0.63633493039383271</v>
      </c>
      <c r="I40" s="130">
        <v>4.053810460381721E-2</v>
      </c>
      <c r="J40" s="130">
        <v>0.145345044495231</v>
      </c>
      <c r="K40" s="130">
        <v>0.16940736448136828</v>
      </c>
    </row>
    <row r="41" spans="1:11" x14ac:dyDescent="0.2">
      <c r="B41" s="38" t="s">
        <v>3</v>
      </c>
      <c r="C41" s="128" t="s">
        <v>12</v>
      </c>
      <c r="D41" s="122"/>
      <c r="E41" s="129">
        <v>13.363255813953488</v>
      </c>
      <c r="F41" s="2"/>
      <c r="G41" s="130">
        <v>0</v>
      </c>
      <c r="H41" s="130">
        <v>0.26460847762199324</v>
      </c>
      <c r="I41" s="130">
        <v>3.9915085533354086E-2</v>
      </c>
      <c r="J41" s="130">
        <v>0.21744783681429086</v>
      </c>
      <c r="K41" s="130">
        <v>0.47802860003036168</v>
      </c>
    </row>
    <row r="42" spans="1:11" x14ac:dyDescent="0.2">
      <c r="B42" s="38" t="s">
        <v>3</v>
      </c>
      <c r="C42" s="128" t="s">
        <v>13</v>
      </c>
      <c r="D42" s="122"/>
      <c r="E42" s="129">
        <v>22.802090592334494</v>
      </c>
      <c r="F42" s="2"/>
      <c r="G42" s="130">
        <v>0</v>
      </c>
      <c r="H42" s="130">
        <v>2.0760520409421408E-2</v>
      </c>
      <c r="I42" s="130">
        <v>1.5606252490699581E-2</v>
      </c>
      <c r="J42" s="130">
        <v>0.35111344022985808</v>
      </c>
      <c r="K42" s="130">
        <v>0.61251978687002107</v>
      </c>
    </row>
    <row r="43" spans="1:11" x14ac:dyDescent="0.2">
      <c r="B43" s="38" t="s">
        <v>3</v>
      </c>
      <c r="C43" s="128" t="s">
        <v>14</v>
      </c>
      <c r="D43" s="122"/>
      <c r="E43" s="129">
        <v>33.698481561822128</v>
      </c>
      <c r="F43" s="2"/>
      <c r="G43" s="130">
        <v>0</v>
      </c>
      <c r="H43" s="130">
        <v>1.8895775618609806E-2</v>
      </c>
      <c r="I43" s="130">
        <v>6.3170420900499936E-3</v>
      </c>
      <c r="J43" s="130">
        <v>0.38433774776748075</v>
      </c>
      <c r="K43" s="130">
        <v>0.59044943452385945</v>
      </c>
    </row>
    <row r="44" spans="1:11" x14ac:dyDescent="0.2">
      <c r="B44" s="38" t="s">
        <v>3</v>
      </c>
      <c r="C44" s="128" t="s">
        <v>15</v>
      </c>
      <c r="D44" s="122"/>
      <c r="E44" s="129">
        <v>41.717171717171716</v>
      </c>
      <c r="F44" s="2"/>
      <c r="G44" s="130">
        <v>0</v>
      </c>
      <c r="H44" s="130">
        <v>1.4948849669575739E-2</v>
      </c>
      <c r="I44" s="130">
        <v>5.8857501665604333E-4</v>
      </c>
      <c r="J44" s="130">
        <v>0.34616225480620344</v>
      </c>
      <c r="K44" s="130">
        <v>0.6383003205075648</v>
      </c>
    </row>
    <row r="45" spans="1:11" x14ac:dyDescent="0.2">
      <c r="B45" s="44" t="s">
        <v>3</v>
      </c>
      <c r="C45" s="155" t="s">
        <v>16</v>
      </c>
      <c r="D45" s="156"/>
      <c r="E45" s="157">
        <v>78.181571815718158</v>
      </c>
      <c r="F45" s="2"/>
      <c r="G45" s="158">
        <v>0</v>
      </c>
      <c r="H45" s="158">
        <v>0</v>
      </c>
      <c r="I45" s="158">
        <v>6.953378189253772E-3</v>
      </c>
      <c r="J45" s="158">
        <v>0.42427681330869504</v>
      </c>
      <c r="K45" s="158">
        <v>0.56876980850205117</v>
      </c>
    </row>
    <row r="46" spans="1:11" x14ac:dyDescent="0.2">
      <c r="B46" s="173" t="s">
        <v>143</v>
      </c>
      <c r="C46" s="174"/>
      <c r="D46" s="175">
        <f>SUBTOTAL(109,Pendelverkehr[Aufteilung in (%) der Mitarbeiter*innen])</f>
        <v>0</v>
      </c>
      <c r="E46" s="176" t="s">
        <v>194</v>
      </c>
      <c r="F46" s="174"/>
      <c r="G46" s="174"/>
      <c r="H46" s="174"/>
      <c r="I46" s="174"/>
      <c r="J46" s="174"/>
      <c r="K46" s="174"/>
    </row>
    <row r="47" spans="1:11" customFormat="1" ht="15" x14ac:dyDescent="0.25"/>
    <row r="48" spans="1:11" ht="5.0999999999999996" customHeight="1" x14ac:dyDescent="0.2">
      <c r="C48" s="43"/>
      <c r="D48" s="43"/>
      <c r="E48" s="63"/>
      <c r="F48" s="131"/>
      <c r="G48" s="63"/>
      <c r="H48" s="63"/>
      <c r="I48" s="63"/>
      <c r="J48" s="63"/>
      <c r="K48" s="63"/>
    </row>
    <row r="49" spans="1:13" x14ac:dyDescent="0.2">
      <c r="A49" s="132" t="s">
        <v>254</v>
      </c>
      <c r="B49" s="59"/>
      <c r="C49" s="59"/>
      <c r="D49" s="59"/>
      <c r="E49" s="60"/>
      <c r="F49" s="60"/>
      <c r="G49" s="60"/>
      <c r="H49" s="60"/>
      <c r="I49" s="60"/>
      <c r="J49" s="92"/>
      <c r="K49" s="92"/>
      <c r="L49" s="59"/>
      <c r="M49" s="61"/>
    </row>
    <row r="50" spans="1:13" x14ac:dyDescent="0.2">
      <c r="J50" s="63"/>
      <c r="K50" s="63"/>
    </row>
    <row r="51" spans="1:13" s="101" customFormat="1" x14ac:dyDescent="0.2">
      <c r="B51" s="210" t="s">
        <v>3</v>
      </c>
      <c r="C51" s="133" t="s">
        <v>253</v>
      </c>
      <c r="D51" s="134" t="s">
        <v>19</v>
      </c>
      <c r="E51" s="134" t="s">
        <v>20</v>
      </c>
      <c r="F51" s="134" t="s">
        <v>21</v>
      </c>
      <c r="G51" s="134" t="s">
        <v>22</v>
      </c>
      <c r="H51" s="135" t="s">
        <v>113</v>
      </c>
      <c r="J51" s="63"/>
      <c r="K51" s="63"/>
    </row>
    <row r="52" spans="1:13" x14ac:dyDescent="0.2">
      <c r="B52" s="136" t="str">
        <f t="shared" ref="B52:B58" si="0">C39</f>
        <v>Weniger als 5 km</v>
      </c>
      <c r="C52" s="137">
        <f>+$E$29*$D39*E39*2</f>
        <v>0</v>
      </c>
      <c r="D52" s="46">
        <f t="shared" ref="D52:H58" si="1">+$C52*G39</f>
        <v>0</v>
      </c>
      <c r="E52" s="46">
        <f t="shared" si="1"/>
        <v>0</v>
      </c>
      <c r="F52" s="46">
        <f t="shared" si="1"/>
        <v>0</v>
      </c>
      <c r="G52" s="46">
        <f t="shared" si="1"/>
        <v>0</v>
      </c>
      <c r="H52" s="46">
        <f t="shared" si="1"/>
        <v>0</v>
      </c>
      <c r="J52" s="63"/>
      <c r="K52" s="63"/>
    </row>
    <row r="53" spans="1:13" x14ac:dyDescent="0.2">
      <c r="B53" s="127" t="str">
        <f t="shared" si="0"/>
        <v>5 - 9 Kilometer</v>
      </c>
      <c r="C53" s="137">
        <f>+$E$29*$D40*E40*2</f>
        <v>0</v>
      </c>
      <c r="D53" s="46">
        <f t="shared" si="1"/>
        <v>0</v>
      </c>
      <c r="E53" s="46">
        <f t="shared" si="1"/>
        <v>0</v>
      </c>
      <c r="F53" s="46">
        <f t="shared" si="1"/>
        <v>0</v>
      </c>
      <c r="G53" s="46">
        <f t="shared" si="1"/>
        <v>0</v>
      </c>
      <c r="H53" s="46">
        <f t="shared" si="1"/>
        <v>0</v>
      </c>
      <c r="J53" s="63"/>
      <c r="K53" s="63"/>
    </row>
    <row r="54" spans="1:13" x14ac:dyDescent="0.2">
      <c r="B54" s="136" t="str">
        <f t="shared" si="0"/>
        <v>10 - 19 Kilometer</v>
      </c>
      <c r="C54" s="137">
        <f>+$E$29*$D41*E41*2</f>
        <v>0</v>
      </c>
      <c r="D54" s="46">
        <f t="shared" si="1"/>
        <v>0</v>
      </c>
      <c r="E54" s="46">
        <f t="shared" si="1"/>
        <v>0</v>
      </c>
      <c r="F54" s="46">
        <f t="shared" si="1"/>
        <v>0</v>
      </c>
      <c r="G54" s="46">
        <f t="shared" si="1"/>
        <v>0</v>
      </c>
      <c r="H54" s="46">
        <f t="shared" si="1"/>
        <v>0</v>
      </c>
      <c r="J54" s="63"/>
      <c r="K54" s="63"/>
    </row>
    <row r="55" spans="1:13" x14ac:dyDescent="0.2">
      <c r="B55" s="127" t="str">
        <f t="shared" si="0"/>
        <v>20 - 29 Kilometer</v>
      </c>
      <c r="C55" s="137">
        <f>+$E$29*$D42*E42*2</f>
        <v>0</v>
      </c>
      <c r="D55" s="46">
        <f t="shared" si="1"/>
        <v>0</v>
      </c>
      <c r="E55" s="46">
        <f t="shared" si="1"/>
        <v>0</v>
      </c>
      <c r="F55" s="46">
        <f t="shared" si="1"/>
        <v>0</v>
      </c>
      <c r="G55" s="46">
        <f t="shared" si="1"/>
        <v>0</v>
      </c>
      <c r="H55" s="46">
        <f t="shared" si="1"/>
        <v>0</v>
      </c>
      <c r="J55" s="63"/>
      <c r="K55" s="63"/>
    </row>
    <row r="56" spans="1:13" x14ac:dyDescent="0.2">
      <c r="B56" s="136" t="str">
        <f t="shared" si="0"/>
        <v>30 - 39 Kilometer</v>
      </c>
      <c r="C56" s="137">
        <f t="shared" ref="C56:C58" si="2">+$E$29*$D43*E43*2</f>
        <v>0</v>
      </c>
      <c r="D56" s="46">
        <f t="shared" si="1"/>
        <v>0</v>
      </c>
      <c r="E56" s="46">
        <f t="shared" si="1"/>
        <v>0</v>
      </c>
      <c r="F56" s="46">
        <f t="shared" si="1"/>
        <v>0</v>
      </c>
      <c r="G56" s="46">
        <f t="shared" si="1"/>
        <v>0</v>
      </c>
      <c r="H56" s="46">
        <f t="shared" si="1"/>
        <v>0</v>
      </c>
      <c r="J56" s="63"/>
      <c r="K56" s="63"/>
    </row>
    <row r="57" spans="1:13" x14ac:dyDescent="0.2">
      <c r="B57" s="127" t="str">
        <f t="shared" si="0"/>
        <v>40 - 49 Kilometer</v>
      </c>
      <c r="C57" s="137">
        <f t="shared" si="2"/>
        <v>0</v>
      </c>
      <c r="D57" s="46">
        <f t="shared" si="1"/>
        <v>0</v>
      </c>
      <c r="E57" s="46">
        <f t="shared" si="1"/>
        <v>0</v>
      </c>
      <c r="F57" s="46">
        <f t="shared" si="1"/>
        <v>0</v>
      </c>
      <c r="G57" s="46">
        <f t="shared" si="1"/>
        <v>0</v>
      </c>
      <c r="H57" s="46">
        <f t="shared" si="1"/>
        <v>0</v>
      </c>
      <c r="J57" s="63"/>
      <c r="K57" s="63"/>
    </row>
    <row r="58" spans="1:13" x14ac:dyDescent="0.2">
      <c r="B58" s="136" t="str">
        <f t="shared" si="0"/>
        <v>Mehr als 50 Kilometer</v>
      </c>
      <c r="C58" s="137">
        <f t="shared" si="2"/>
        <v>0</v>
      </c>
      <c r="D58" s="46">
        <f t="shared" si="1"/>
        <v>0</v>
      </c>
      <c r="E58" s="46">
        <f t="shared" si="1"/>
        <v>0</v>
      </c>
      <c r="F58" s="46">
        <f t="shared" si="1"/>
        <v>0</v>
      </c>
      <c r="G58" s="46">
        <f t="shared" si="1"/>
        <v>0</v>
      </c>
      <c r="H58" s="46">
        <f t="shared" si="1"/>
        <v>0</v>
      </c>
      <c r="J58" s="63"/>
      <c r="K58" s="63"/>
    </row>
    <row r="59" spans="1:13" x14ac:dyDescent="0.2">
      <c r="B59" s="138" t="s">
        <v>0</v>
      </c>
      <c r="C59" s="139">
        <f>SUM(C52:C58)</f>
        <v>0</v>
      </c>
      <c r="D59" s="140">
        <f t="shared" ref="D59:E59" si="3">SUM(D52:D58)</f>
        <v>0</v>
      </c>
      <c r="E59" s="140">
        <f t="shared" si="3"/>
        <v>0</v>
      </c>
      <c r="F59" s="140">
        <f>SUM(F52:F58)</f>
        <v>0</v>
      </c>
      <c r="G59" s="140">
        <f t="shared" ref="G59:H59" si="4">SUM(G52:G58)</f>
        <v>0</v>
      </c>
      <c r="H59" s="141">
        <f t="shared" si="4"/>
        <v>0</v>
      </c>
      <c r="J59" s="63"/>
      <c r="K59" s="63"/>
    </row>
    <row r="60" spans="1:13" x14ac:dyDescent="0.2">
      <c r="B60" s="138" t="s">
        <v>23</v>
      </c>
      <c r="C60" s="142" t="str">
        <f>IFERROR(C59/$C$59,"Mitarbeiteranzahl?")</f>
        <v>Mitarbeiteranzahl?</v>
      </c>
      <c r="D60" s="143" t="str">
        <f>IFERROR(D59/C59,"Mitarbeiteranzahl?")</f>
        <v>Mitarbeiteranzahl?</v>
      </c>
      <c r="E60" s="143" t="str">
        <f>IFERROR(E59/$C$59,"Mitarbeiteranzahl?")</f>
        <v>Mitarbeiteranzahl?</v>
      </c>
      <c r="F60" s="143" t="str">
        <f>IFERROR(F59/$C$59,"Mitarbeiteranzahl?")</f>
        <v>Mitarbeiteranzahl?</v>
      </c>
      <c r="G60" s="143" t="str">
        <f>IFERROR(G59/$C$59,"Mitarbeiteranzahl?")</f>
        <v>Mitarbeiteranzahl?</v>
      </c>
      <c r="H60" s="143" t="str">
        <f>IFERROR(H59/$C$59,"Mitarbeiteranzahl?")</f>
        <v>Mitarbeiteranzahl?</v>
      </c>
      <c r="J60" s="63"/>
      <c r="K60" s="63"/>
    </row>
    <row r="61" spans="1:13" x14ac:dyDescent="0.2">
      <c r="C61" s="43"/>
      <c r="D61" s="144"/>
      <c r="E61" s="63"/>
      <c r="F61" s="63"/>
      <c r="G61" s="63"/>
      <c r="H61" s="63"/>
      <c r="I61" s="63"/>
      <c r="J61" s="63"/>
      <c r="K61" s="63"/>
    </row>
    <row r="62" spans="1:13" ht="5.0999999999999996" customHeight="1" x14ac:dyDescent="0.2">
      <c r="C62" s="43"/>
      <c r="D62" s="43"/>
      <c r="E62" s="63"/>
      <c r="F62" s="63"/>
      <c r="G62" s="63"/>
      <c r="H62" s="63"/>
      <c r="I62" s="63"/>
      <c r="J62" s="63"/>
      <c r="K62" s="63"/>
    </row>
    <row r="63" spans="1:13" x14ac:dyDescent="0.2">
      <c r="A63" s="177" t="s">
        <v>250</v>
      </c>
      <c r="B63" s="59"/>
      <c r="C63" s="59"/>
      <c r="D63" s="59"/>
      <c r="E63" s="60"/>
      <c r="F63" s="60"/>
      <c r="G63" s="60"/>
      <c r="H63" s="92"/>
      <c r="I63" s="92"/>
      <c r="J63" s="92"/>
      <c r="K63" s="92"/>
      <c r="L63" s="59"/>
      <c r="M63" s="61"/>
    </row>
    <row r="64" spans="1:13" x14ac:dyDescent="0.2">
      <c r="A64" s="160"/>
      <c r="H64" s="63"/>
      <c r="I64" s="63"/>
      <c r="J64" s="63"/>
      <c r="K64" s="63"/>
    </row>
    <row r="65" spans="2:12" x14ac:dyDescent="0.2">
      <c r="B65" s="50" t="s">
        <v>24</v>
      </c>
      <c r="D65" s="101"/>
      <c r="G65" s="63"/>
      <c r="H65" s="63"/>
      <c r="I65" s="50"/>
      <c r="J65" s="63"/>
      <c r="K65" s="63"/>
    </row>
    <row r="66" spans="2:12" x14ac:dyDescent="0.2">
      <c r="B66" s="50" t="s">
        <v>25</v>
      </c>
      <c r="D66" s="101"/>
      <c r="G66" s="63"/>
      <c r="H66" s="63"/>
      <c r="I66" s="50"/>
      <c r="J66" s="63"/>
      <c r="K66" s="63"/>
    </row>
    <row r="67" spans="2:12" x14ac:dyDescent="0.2">
      <c r="B67" s="161" t="s">
        <v>136</v>
      </c>
      <c r="C67" s="161"/>
      <c r="D67" s="161"/>
      <c r="E67" s="161"/>
      <c r="F67" s="161"/>
      <c r="G67" s="161"/>
      <c r="H67" s="161"/>
      <c r="I67" s="50"/>
      <c r="J67" s="63"/>
      <c r="K67" s="63"/>
    </row>
    <row r="68" spans="2:12" s="188" customFormat="1" ht="27" x14ac:dyDescent="0.25">
      <c r="B68" s="71" t="s">
        <v>216</v>
      </c>
      <c r="C68" s="213" t="s">
        <v>138</v>
      </c>
      <c r="D68" s="71" t="s">
        <v>251</v>
      </c>
      <c r="E68" s="71" t="s">
        <v>252</v>
      </c>
      <c r="F68" s="214" t="s">
        <v>242</v>
      </c>
      <c r="G68" s="215"/>
      <c r="H68" s="215"/>
      <c r="I68" s="215"/>
      <c r="J68" s="215"/>
      <c r="K68" s="215"/>
    </row>
    <row r="69" spans="2:12" x14ac:dyDescent="0.2">
      <c r="B69" s="162" t="s">
        <v>26</v>
      </c>
      <c r="C69" s="2"/>
      <c r="D69" s="145">
        <f>F59</f>
        <v>0</v>
      </c>
      <c r="E69" s="252">
        <v>3.8999999999999998E-3</v>
      </c>
      <c r="F69" s="42">
        <f>IFERROR(MA_mobi_gesamt[[#This Row],[Gesamte Entfernung 
(Hin-&amp; Zurück): Pkm / Jahr]]*MA_mobi_gesamt[[#This Row],[Emissionsfaktor 
(kg CO2e / Pkm )]],"k.A.")</f>
        <v>0</v>
      </c>
      <c r="G69" s="63"/>
      <c r="H69" s="63"/>
      <c r="I69" s="146"/>
      <c r="J69" s="63"/>
      <c r="K69" s="63"/>
    </row>
    <row r="70" spans="2:12" x14ac:dyDescent="0.2">
      <c r="B70" s="162" t="s">
        <v>27</v>
      </c>
      <c r="C70" s="2"/>
      <c r="D70" s="147">
        <f>H59</f>
        <v>0</v>
      </c>
      <c r="E70" s="41">
        <v>0.16200000000000001</v>
      </c>
      <c r="F70" s="42">
        <f>IFERROR(MA_mobi_gesamt[[#This Row],[Gesamte Entfernung 
(Hin-&amp; Zurück): Pkm / Jahr]]*MA_mobi_gesamt[[#This Row],[Emissionsfaktor 
(kg CO2e / Pkm )]],"k.A.")</f>
        <v>0</v>
      </c>
      <c r="G70" s="63"/>
      <c r="H70" s="63"/>
      <c r="I70" s="146"/>
      <c r="J70" s="63"/>
      <c r="K70" s="63"/>
    </row>
    <row r="71" spans="2:12" x14ac:dyDescent="0.2">
      <c r="B71" s="163" t="s">
        <v>28</v>
      </c>
      <c r="C71" s="2"/>
      <c r="D71" s="147">
        <f>G59</f>
        <v>0</v>
      </c>
      <c r="E71" s="41">
        <v>9.4E-2</v>
      </c>
      <c r="F71" s="42">
        <f>IFERROR(MA_mobi_gesamt[[#This Row],[Gesamte Entfernung 
(Hin-&amp; Zurück): Pkm / Jahr]]*MA_mobi_gesamt[[#This Row],[Emissionsfaktor 
(kg CO2e / Pkm )]],"k.A.")</f>
        <v>0</v>
      </c>
      <c r="G71" s="63"/>
      <c r="H71" s="63"/>
      <c r="I71" s="146"/>
      <c r="J71" s="63"/>
      <c r="K71" s="63"/>
    </row>
    <row r="72" spans="2:12" ht="14.25" x14ac:dyDescent="0.25">
      <c r="B72" s="76" t="s">
        <v>29</v>
      </c>
      <c r="C72" s="2"/>
      <c r="D72" s="147">
        <f>SUBTOTAL(109,MA_mobi_gesamt[Gesamte Entfernung 
(Hin-&amp; Zurück): Pkm / Jahr])</f>
        <v>0</v>
      </c>
      <c r="E72" s="155"/>
      <c r="F72" s="47">
        <f>SUBTOTAL(109,MA_mobi_gesamt[Ergebnis 
(kg CO2e / Jahr)])</f>
        <v>0</v>
      </c>
      <c r="G72" s="333" t="s">
        <v>305</v>
      </c>
      <c r="H72" s="333"/>
      <c r="I72" s="333"/>
      <c r="J72" s="333"/>
      <c r="K72" s="333"/>
      <c r="L72" s="333"/>
    </row>
    <row r="73" spans="2:12" x14ac:dyDescent="0.2">
      <c r="C73" s="43"/>
      <c r="D73" s="43"/>
      <c r="E73" s="63"/>
      <c r="F73" s="63"/>
    </row>
  </sheetData>
  <sheetProtection algorithmName="SHA-512" hashValue="EmfzvbTvT8HusaMEIvQGisVNkqPq8wSc+3hijjDcRYCWDhmg9wGI1sxzoSXNu5X05Sd6EeyrVHatZn1obpbPLw==" saltValue="ilgK2eHcBuItFavKTua/0g==" spinCount="100000" sheet="1" objects="1" scenarios="1"/>
  <protectedRanges>
    <protectedRange sqref="G39:K45 D69:D71" name="Individuelle_Mobilitätsdaten"/>
    <protectedRange sqref="D23 D26:D27 D39:D45" name="Mitarbeiterdaten_Klinik"/>
  </protectedRanges>
  <mergeCells count="10">
    <mergeCell ref="B2:L2"/>
    <mergeCell ref="B3:L3"/>
    <mergeCell ref="B4:L6"/>
    <mergeCell ref="D8:D12"/>
    <mergeCell ref="F8:F12"/>
    <mergeCell ref="G72:L72"/>
    <mergeCell ref="A15:M15"/>
    <mergeCell ref="B37:E37"/>
    <mergeCell ref="G37:K37"/>
    <mergeCell ref="B36:K36"/>
  </mergeCells>
  <conditionalFormatting sqref="E73">
    <cfRule type="expression" dxfId="161" priority="1">
      <formula>#REF!="Defaultwerte"</formula>
    </cfRule>
  </conditionalFormatting>
  <dataValidations count="1">
    <dataValidation allowBlank="1" showInputMessage="1" sqref="E68:F68" xr:uid="{00000000-0002-0000-0200-000000000000}"/>
  </dataValidation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35"/>
  <sheetViews>
    <sheetView tabSelected="1" topLeftCell="A22" zoomScale="68" zoomScaleNormal="100" workbookViewId="0">
      <selection activeCell="G143" sqref="G143"/>
    </sheetView>
  </sheetViews>
  <sheetFormatPr defaultColWidth="11.42578125" defaultRowHeight="12.75" x14ac:dyDescent="0.2"/>
  <cols>
    <col min="1" max="1" width="17" style="50" customWidth="1"/>
    <col min="2" max="2" width="46.42578125" style="50" customWidth="1"/>
    <col min="3" max="3" width="34.140625" style="50" customWidth="1"/>
    <col min="4" max="4" width="30" style="101" customWidth="1"/>
    <col min="5" max="5" width="23.7109375" style="101" customWidth="1"/>
    <col min="6" max="6" width="32.42578125" style="101" customWidth="1"/>
    <col min="7" max="7" width="23.28515625" style="101" customWidth="1"/>
    <col min="8" max="8" width="22.28515625" style="50" bestFit="1" customWidth="1"/>
    <col min="9" max="9" width="44.7109375" style="50" customWidth="1"/>
    <col min="10" max="12" width="11.42578125" style="50"/>
    <col min="13" max="13" width="29.85546875" style="50" customWidth="1"/>
    <col min="14" max="19" width="11.42578125" style="50"/>
    <col min="20" max="20" width="21.42578125" style="50" customWidth="1"/>
    <col min="21" max="16384" width="11.42578125" style="50"/>
  </cols>
  <sheetData>
    <row r="1" spans="1:20" ht="12.75" customHeight="1" thickBot="1" x14ac:dyDescent="0.25">
      <c r="D1" s="50"/>
      <c r="E1" s="50"/>
      <c r="F1" s="50"/>
      <c r="G1" s="106"/>
      <c r="H1" s="106"/>
      <c r="L1" s="106"/>
      <c r="M1" s="106"/>
    </row>
    <row r="2" spans="1:20" ht="12.75" customHeight="1" thickBot="1" x14ac:dyDescent="0.25">
      <c r="A2" s="107"/>
      <c r="B2" s="301" t="s">
        <v>279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108"/>
      <c r="N2" s="109"/>
    </row>
    <row r="3" spans="1:20" ht="12.75" customHeight="1" thickBot="1" x14ac:dyDescent="0.25">
      <c r="A3" s="49"/>
      <c r="B3" s="318" t="s">
        <v>226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20" ht="12.75" customHeight="1" x14ac:dyDescent="0.2">
      <c r="B4" s="319" t="s">
        <v>193</v>
      </c>
      <c r="C4" s="320"/>
      <c r="D4" s="320"/>
      <c r="E4" s="320"/>
      <c r="F4" s="320"/>
      <c r="G4" s="320"/>
      <c r="H4" s="320"/>
      <c r="I4" s="320"/>
      <c r="J4" s="320"/>
      <c r="K4" s="320"/>
      <c r="L4" s="321"/>
    </row>
    <row r="5" spans="1:20" ht="12.75" customHeight="1" x14ac:dyDescent="0.2">
      <c r="B5" s="322"/>
      <c r="C5" s="323"/>
      <c r="D5" s="323"/>
      <c r="E5" s="323"/>
      <c r="F5" s="323"/>
      <c r="G5" s="323"/>
      <c r="H5" s="323"/>
      <c r="I5" s="323"/>
      <c r="J5" s="323"/>
      <c r="K5" s="323"/>
      <c r="L5" s="324"/>
    </row>
    <row r="6" spans="1:20" ht="12.75" customHeight="1" x14ac:dyDescent="0.2">
      <c r="B6" s="322"/>
      <c r="C6" s="323"/>
      <c r="D6" s="323"/>
      <c r="E6" s="323"/>
      <c r="F6" s="323"/>
      <c r="G6" s="323"/>
      <c r="H6" s="323"/>
      <c r="I6" s="323"/>
      <c r="J6" s="323"/>
      <c r="K6" s="323"/>
      <c r="L6" s="324"/>
    </row>
    <row r="7" spans="1:20" s="55" customFormat="1" ht="12.75" customHeight="1" x14ac:dyDescent="0.25">
      <c r="B7" s="54" t="s">
        <v>137</v>
      </c>
      <c r="D7" s="22" t="s">
        <v>119</v>
      </c>
      <c r="E7" s="152" t="s">
        <v>186</v>
      </c>
      <c r="F7" s="152"/>
      <c r="G7" s="22"/>
      <c r="H7" s="22" t="s">
        <v>120</v>
      </c>
      <c r="I7"/>
      <c r="K7" s="56"/>
      <c r="L7" s="23"/>
      <c r="P7" s="50"/>
      <c r="Q7" s="50"/>
      <c r="R7" s="50"/>
      <c r="S7" s="50"/>
      <c r="T7" s="50"/>
    </row>
    <row r="8" spans="1:20" ht="12.75" customHeight="1" x14ac:dyDescent="0.2">
      <c r="B8" s="110"/>
      <c r="C8" s="38"/>
      <c r="D8" s="325" t="s">
        <v>122</v>
      </c>
      <c r="E8" s="50" t="s">
        <v>187</v>
      </c>
      <c r="F8" s="50"/>
      <c r="G8" s="50"/>
      <c r="H8" s="328" t="s">
        <v>122</v>
      </c>
      <c r="K8" s="53"/>
      <c r="L8" s="111"/>
    </row>
    <row r="9" spans="1:20" ht="12.75" customHeight="1" x14ac:dyDescent="0.25">
      <c r="B9" s="110"/>
      <c r="C9" s="38"/>
      <c r="D9" s="326"/>
      <c r="E9" s="179">
        <v>10</v>
      </c>
      <c r="F9"/>
      <c r="G9"/>
      <c r="H9" s="329"/>
      <c r="K9" s="53"/>
      <c r="L9" s="111"/>
    </row>
    <row r="10" spans="1:20" ht="12.75" customHeight="1" x14ac:dyDescent="0.25">
      <c r="B10" s="110"/>
      <c r="C10" s="38"/>
      <c r="D10" s="326"/>
      <c r="E10" s="179">
        <v>20</v>
      </c>
      <c r="F10"/>
      <c r="G10"/>
      <c r="H10" s="329"/>
      <c r="K10" s="53"/>
      <c r="L10" s="111"/>
    </row>
    <row r="11" spans="1:20" ht="12.75" customHeight="1" x14ac:dyDescent="0.2">
      <c r="B11" s="110"/>
      <c r="C11" s="38"/>
      <c r="D11" s="326"/>
      <c r="E11" s="50"/>
      <c r="F11" s="50"/>
      <c r="G11" s="50"/>
      <c r="H11" s="329"/>
      <c r="K11" s="53"/>
      <c r="L11" s="111"/>
    </row>
    <row r="12" spans="1:20" ht="12.75" customHeight="1" thickBot="1" x14ac:dyDescent="0.25">
      <c r="B12" s="112"/>
      <c r="C12" s="113"/>
      <c r="D12" s="327"/>
      <c r="E12" s="52"/>
      <c r="F12" s="52"/>
      <c r="G12" s="52"/>
      <c r="H12" s="330"/>
      <c r="I12" s="52"/>
      <c r="J12" s="52"/>
      <c r="K12" s="116"/>
      <c r="L12" s="117"/>
    </row>
    <row r="13" spans="1:20" ht="12.75" customHeight="1" x14ac:dyDescent="0.2">
      <c r="D13" s="50"/>
      <c r="E13" s="50"/>
      <c r="F13" s="50"/>
      <c r="G13" s="50"/>
    </row>
    <row r="14" spans="1:20" ht="13.5" thickBot="1" x14ac:dyDescent="0.25">
      <c r="D14" s="50"/>
      <c r="G14" s="50"/>
    </row>
    <row r="15" spans="1:20" ht="15.75" customHeight="1" thickBot="1" x14ac:dyDescent="0.25">
      <c r="A15" s="310" t="s">
        <v>192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2"/>
    </row>
    <row r="17" spans="1:13" ht="5.0999999999999996" customHeight="1" x14ac:dyDescent="0.2">
      <c r="H17" s="101"/>
      <c r="I17" s="101"/>
      <c r="J17" s="101"/>
      <c r="K17" s="43"/>
    </row>
    <row r="18" spans="1:13" x14ac:dyDescent="0.2">
      <c r="A18" s="58" t="s">
        <v>239</v>
      </c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59"/>
      <c r="M18" s="61"/>
    </row>
    <row r="19" spans="1:13" x14ac:dyDescent="0.2">
      <c r="D19" s="50"/>
      <c r="E19" s="50"/>
      <c r="F19" s="205"/>
      <c r="G19" s="205"/>
      <c r="H19" s="205"/>
      <c r="I19" s="205"/>
      <c r="J19" s="205"/>
    </row>
    <row r="20" spans="1:13" ht="39" x14ac:dyDescent="0.25">
      <c r="B20" s="178" t="s">
        <v>197</v>
      </c>
      <c r="C20" s="166" t="s">
        <v>198</v>
      </c>
      <c r="D20" s="165" t="s">
        <v>195</v>
      </c>
      <c r="E20" s="35" t="s">
        <v>277</v>
      </c>
      <c r="F20" s="71" t="s">
        <v>266</v>
      </c>
      <c r="G20" s="36" t="s">
        <v>244</v>
      </c>
      <c r="H20" s="235" t="s">
        <v>243</v>
      </c>
      <c r="I20" s="236" t="s">
        <v>199</v>
      </c>
      <c r="J20" s="236" t="s">
        <v>33</v>
      </c>
    </row>
    <row r="21" spans="1:13" x14ac:dyDescent="0.2">
      <c r="B21" s="170" t="s">
        <v>30</v>
      </c>
      <c r="C21" s="167" t="s">
        <v>223</v>
      </c>
      <c r="D21" s="168"/>
      <c r="E21" s="179">
        <v>167.04190443684655</v>
      </c>
      <c r="F21" s="182">
        <f>E21*pat_notf_heli[[#This Row],[Anzahl (Notfallpatienten)]]</f>
        <v>0</v>
      </c>
      <c r="G21" s="48">
        <v>4.3157538461538456</v>
      </c>
      <c r="H21" s="233">
        <f>pat_notf_heli[[#This Row],[Gesamte Distanz 
'[Pkm / Jahr']]]*pat_notf_heli[[#This Row],[Emissionsfaktor 
'[kg CO2e / Pkm']]]</f>
        <v>0</v>
      </c>
      <c r="I21" s="234" t="s">
        <v>196</v>
      </c>
      <c r="J21" s="234" t="s">
        <v>164</v>
      </c>
    </row>
    <row r="22" spans="1:13" x14ac:dyDescent="0.2">
      <c r="B22" s="76" t="s">
        <v>294</v>
      </c>
      <c r="C22" s="2"/>
      <c r="D22" s="218">
        <f>SUBTOTAL(109,pat_notf_heli[Anzahl (Notfallpatienten)])</f>
        <v>0</v>
      </c>
      <c r="E22" s="2"/>
      <c r="F22" s="2"/>
      <c r="G22" s="2"/>
      <c r="H22" s="181">
        <f>SUBTOTAL(109,pat_notf_heli[Ergebnis 
'[kg CO2e / Jahr']])</f>
        <v>0</v>
      </c>
      <c r="I22" s="2"/>
      <c r="J22" s="2"/>
    </row>
    <row r="23" spans="1:13" x14ac:dyDescent="0.2">
      <c r="B23" s="43"/>
      <c r="C23" s="43"/>
      <c r="D23" s="63"/>
      <c r="E23" s="63"/>
      <c r="F23" s="50"/>
      <c r="G23" s="50"/>
    </row>
    <row r="24" spans="1:13" ht="5.0999999999999996" customHeight="1" x14ac:dyDescent="0.2">
      <c r="D24" s="50"/>
      <c r="E24" s="50"/>
      <c r="F24" s="50"/>
      <c r="G24" s="50"/>
    </row>
    <row r="25" spans="1:13" x14ac:dyDescent="0.2">
      <c r="A25" s="58" t="s">
        <v>295</v>
      </c>
      <c r="B25" s="271"/>
      <c r="C25" s="59"/>
      <c r="D25" s="60"/>
      <c r="E25" s="60"/>
      <c r="F25" s="60"/>
      <c r="G25" s="60"/>
      <c r="H25" s="60"/>
      <c r="I25" s="60"/>
      <c r="J25" s="60"/>
      <c r="K25" s="60"/>
      <c r="L25" s="59"/>
      <c r="M25" s="61"/>
    </row>
    <row r="26" spans="1:13" hidden="1" x14ac:dyDescent="0.2">
      <c r="D26" s="50"/>
      <c r="E26" s="50"/>
      <c r="F26" s="50"/>
      <c r="G26" s="50"/>
    </row>
    <row r="27" spans="1:13" hidden="1" x14ac:dyDescent="0.2">
      <c r="B27" s="50" t="s">
        <v>117</v>
      </c>
      <c r="C27" s="50" t="s">
        <v>40</v>
      </c>
      <c r="D27" s="50" t="s">
        <v>41</v>
      </c>
      <c r="E27" s="50" t="s">
        <v>42</v>
      </c>
      <c r="F27" s="50" t="s">
        <v>43</v>
      </c>
      <c r="G27" s="50" t="s">
        <v>44</v>
      </c>
      <c r="H27" s="50" t="s">
        <v>45</v>
      </c>
      <c r="I27" s="50" t="s">
        <v>46</v>
      </c>
      <c r="J27" s="50" t="s">
        <v>47</v>
      </c>
      <c r="K27" s="50" t="s">
        <v>48</v>
      </c>
      <c r="L27" s="50" t="s">
        <v>49</v>
      </c>
      <c r="M27" s="50" t="s">
        <v>200</v>
      </c>
    </row>
    <row r="28" spans="1:13" hidden="1" x14ac:dyDescent="0.2">
      <c r="B28" s="50" t="s">
        <v>40</v>
      </c>
      <c r="C28" s="50">
        <v>20</v>
      </c>
      <c r="D28" s="50">
        <v>190</v>
      </c>
      <c r="E28" s="50">
        <v>480</v>
      </c>
      <c r="F28" s="50">
        <v>330</v>
      </c>
      <c r="G28" s="50">
        <v>680</v>
      </c>
      <c r="H28" s="50">
        <v>570</v>
      </c>
      <c r="I28" s="50">
        <v>540</v>
      </c>
      <c r="J28" s="50">
        <v>510</v>
      </c>
      <c r="K28" s="50">
        <v>460</v>
      </c>
      <c r="L28" s="50">
        <v>320</v>
      </c>
      <c r="M28" s="50" t="s">
        <v>201</v>
      </c>
    </row>
    <row r="29" spans="1:13" hidden="1" x14ac:dyDescent="0.2">
      <c r="B29" s="50" t="s">
        <v>41</v>
      </c>
      <c r="C29" s="50">
        <v>190</v>
      </c>
      <c r="D29" s="50">
        <v>20</v>
      </c>
      <c r="E29" s="50">
        <v>290</v>
      </c>
      <c r="F29" s="50">
        <v>240</v>
      </c>
      <c r="G29" s="50">
        <v>530</v>
      </c>
      <c r="H29" s="50">
        <v>600</v>
      </c>
      <c r="I29" s="50">
        <v>620</v>
      </c>
      <c r="J29" s="50">
        <v>630</v>
      </c>
      <c r="K29" s="50">
        <v>580</v>
      </c>
      <c r="L29" s="50">
        <v>450</v>
      </c>
      <c r="M29" s="50" t="s">
        <v>202</v>
      </c>
    </row>
    <row r="30" spans="1:13" hidden="1" x14ac:dyDescent="0.2">
      <c r="B30" s="50" t="s">
        <v>42</v>
      </c>
      <c r="C30" s="50">
        <v>480</v>
      </c>
      <c r="D30" s="50">
        <v>290</v>
      </c>
      <c r="E30" s="50">
        <v>20</v>
      </c>
      <c r="F30" s="50">
        <v>270</v>
      </c>
      <c r="G30" s="50">
        <v>370</v>
      </c>
      <c r="H30" s="50">
        <v>460</v>
      </c>
      <c r="I30" s="50">
        <v>570</v>
      </c>
      <c r="J30" s="50">
        <v>650</v>
      </c>
      <c r="K30" s="50">
        <v>790</v>
      </c>
      <c r="L30" s="50">
        <v>610</v>
      </c>
      <c r="M30" s="50" t="s">
        <v>203</v>
      </c>
    </row>
    <row r="31" spans="1:13" hidden="1" x14ac:dyDescent="0.2">
      <c r="B31" s="50" t="s">
        <v>43</v>
      </c>
      <c r="C31" s="50">
        <v>330</v>
      </c>
      <c r="D31" s="50">
        <v>240</v>
      </c>
      <c r="E31" s="50">
        <v>270</v>
      </c>
      <c r="F31" s="50">
        <v>20</v>
      </c>
      <c r="G31" s="50">
        <v>500</v>
      </c>
      <c r="H31" s="50">
        <v>320</v>
      </c>
      <c r="I31" s="50">
        <v>320</v>
      </c>
      <c r="J31" s="50">
        <v>390</v>
      </c>
      <c r="K31" s="50">
        <v>520</v>
      </c>
      <c r="L31" s="50">
        <v>350</v>
      </c>
      <c r="M31" s="50" t="s">
        <v>204</v>
      </c>
    </row>
    <row r="32" spans="1:13" hidden="1" x14ac:dyDescent="0.2">
      <c r="B32" s="50" t="s">
        <v>44</v>
      </c>
      <c r="C32" s="50">
        <v>680</v>
      </c>
      <c r="D32" s="50">
        <v>530</v>
      </c>
      <c r="E32" s="50">
        <v>370</v>
      </c>
      <c r="F32" s="50">
        <v>500</v>
      </c>
      <c r="G32" s="50">
        <v>20</v>
      </c>
      <c r="H32" s="50">
        <v>420</v>
      </c>
      <c r="I32" s="50">
        <v>200</v>
      </c>
      <c r="J32" s="50">
        <v>180</v>
      </c>
      <c r="K32" s="50">
        <v>400</v>
      </c>
      <c r="L32" s="50">
        <v>380</v>
      </c>
      <c r="M32" s="50" t="s">
        <v>205</v>
      </c>
    </row>
    <row r="33" spans="2:13" hidden="1" x14ac:dyDescent="0.2">
      <c r="B33" s="50" t="s">
        <v>45</v>
      </c>
      <c r="C33" s="50">
        <v>570</v>
      </c>
      <c r="D33" s="50">
        <v>600</v>
      </c>
      <c r="E33" s="50">
        <v>460</v>
      </c>
      <c r="F33" s="50">
        <v>320</v>
      </c>
      <c r="G33" s="50">
        <v>420</v>
      </c>
      <c r="H33" s="50">
        <v>20</v>
      </c>
      <c r="I33" s="50">
        <v>290</v>
      </c>
      <c r="J33" s="50">
        <v>350</v>
      </c>
      <c r="K33" s="50">
        <v>560</v>
      </c>
      <c r="L33" s="50">
        <v>390</v>
      </c>
      <c r="M33" s="50" t="s">
        <v>206</v>
      </c>
    </row>
    <row r="34" spans="2:13" hidden="1" x14ac:dyDescent="0.2">
      <c r="B34" s="50" t="s">
        <v>46</v>
      </c>
      <c r="C34" s="50">
        <v>540</v>
      </c>
      <c r="D34" s="50">
        <v>620</v>
      </c>
      <c r="E34" s="50">
        <v>570</v>
      </c>
      <c r="F34" s="50">
        <v>320</v>
      </c>
      <c r="G34" s="50">
        <v>200</v>
      </c>
      <c r="H34" s="50">
        <v>290</v>
      </c>
      <c r="I34" s="50">
        <v>20</v>
      </c>
      <c r="J34" s="50">
        <v>130</v>
      </c>
      <c r="K34" s="50">
        <v>370</v>
      </c>
      <c r="L34" s="50">
        <v>240</v>
      </c>
      <c r="M34" s="50" t="s">
        <v>207</v>
      </c>
    </row>
    <row r="35" spans="2:13" hidden="1" x14ac:dyDescent="0.2">
      <c r="B35" s="50" t="s">
        <v>47</v>
      </c>
      <c r="C35" s="50">
        <v>510</v>
      </c>
      <c r="D35" s="50">
        <v>630</v>
      </c>
      <c r="E35" s="50">
        <v>650</v>
      </c>
      <c r="F35" s="50">
        <v>390</v>
      </c>
      <c r="G35" s="50">
        <v>180</v>
      </c>
      <c r="H35" s="50">
        <v>350</v>
      </c>
      <c r="I35" s="50">
        <v>130</v>
      </c>
      <c r="J35" s="50">
        <v>20</v>
      </c>
      <c r="K35" s="50">
        <v>230</v>
      </c>
      <c r="L35" s="50">
        <v>210</v>
      </c>
      <c r="M35" s="50" t="s">
        <v>208</v>
      </c>
    </row>
    <row r="36" spans="2:13" hidden="1" x14ac:dyDescent="0.2">
      <c r="B36" s="50" t="s">
        <v>48</v>
      </c>
      <c r="C36" s="50">
        <v>460</v>
      </c>
      <c r="D36" s="50">
        <v>580</v>
      </c>
      <c r="E36" s="50">
        <v>790</v>
      </c>
      <c r="F36" s="50">
        <v>520</v>
      </c>
      <c r="G36" s="50">
        <v>400</v>
      </c>
      <c r="H36" s="50">
        <v>560</v>
      </c>
      <c r="I36" s="50">
        <v>370</v>
      </c>
      <c r="J36" s="50">
        <v>230</v>
      </c>
      <c r="K36" s="50">
        <v>20</v>
      </c>
      <c r="L36" s="50">
        <v>170</v>
      </c>
      <c r="M36" s="50" t="s">
        <v>209</v>
      </c>
    </row>
    <row r="37" spans="2:13" hidden="1" x14ac:dyDescent="0.2">
      <c r="B37" s="50" t="s">
        <v>49</v>
      </c>
      <c r="C37" s="50">
        <v>320</v>
      </c>
      <c r="D37" s="50">
        <v>450</v>
      </c>
      <c r="E37" s="50">
        <v>610</v>
      </c>
      <c r="F37" s="50">
        <v>350</v>
      </c>
      <c r="G37" s="50">
        <v>380</v>
      </c>
      <c r="H37" s="50">
        <v>390</v>
      </c>
      <c r="I37" s="50">
        <v>240</v>
      </c>
      <c r="J37" s="50">
        <v>210</v>
      </c>
      <c r="K37" s="50">
        <v>170</v>
      </c>
      <c r="L37" s="50">
        <v>20</v>
      </c>
      <c r="M37" s="50" t="s">
        <v>210</v>
      </c>
    </row>
    <row r="38" spans="2:13" x14ac:dyDescent="0.2">
      <c r="D38" s="50"/>
      <c r="E38" s="50"/>
      <c r="F38" s="50"/>
      <c r="G38" s="50"/>
    </row>
    <row r="39" spans="2:13" x14ac:dyDescent="0.2">
      <c r="B39" s="222" t="s">
        <v>211</v>
      </c>
      <c r="C39" s="222" t="s">
        <v>211</v>
      </c>
      <c r="D39" s="227" t="s">
        <v>217</v>
      </c>
      <c r="E39" s="222"/>
      <c r="F39" s="222"/>
      <c r="G39" s="222"/>
    </row>
    <row r="40" spans="2:13" x14ac:dyDescent="0.2">
      <c r="B40" s="2"/>
      <c r="C40" s="2"/>
      <c r="D40" s="228" t="s">
        <v>47</v>
      </c>
      <c r="E40" s="226" t="s">
        <v>218</v>
      </c>
      <c r="F40" s="226"/>
      <c r="G40" s="226"/>
      <c r="I40" s="237"/>
      <c r="J40" s="237"/>
    </row>
    <row r="41" spans="2:13" x14ac:dyDescent="0.2">
      <c r="D41" s="50"/>
      <c r="E41" s="50"/>
      <c r="F41" s="50"/>
      <c r="G41" s="50"/>
      <c r="I41" s="237"/>
      <c r="J41" s="237"/>
    </row>
    <row r="42" spans="2:13" s="188" customFormat="1" ht="25.5" x14ac:dyDescent="0.25">
      <c r="B42" s="220" t="s">
        <v>39</v>
      </c>
      <c r="C42" s="225" t="s">
        <v>138</v>
      </c>
      <c r="D42" s="229" t="s">
        <v>271</v>
      </c>
      <c r="E42" s="221" t="s">
        <v>219</v>
      </c>
      <c r="F42" s="221" t="s">
        <v>221</v>
      </c>
      <c r="G42" s="223" t="s">
        <v>267</v>
      </c>
      <c r="I42" s="239"/>
      <c r="J42" s="239"/>
    </row>
    <row r="43" spans="2:13" ht="12.75" customHeight="1" x14ac:dyDescent="0.25">
      <c r="B43" s="38" t="s">
        <v>40</v>
      </c>
      <c r="C43" s="2"/>
      <c r="D43" s="224"/>
      <c r="E43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3" s="217">
        <f ca="1">INDEX(OFFSET(Tabelle27[PLZ-Bereich],0,MATCH(pat_inl_fahrten[[#This Row],[Postleitzahlbereich]],Tabelle27[PLZ-Bereich],0)),MATCH(D40,C27:L27,0))</f>
        <v>510</v>
      </c>
      <c r="G43" s="171">
        <f ca="1">pat_inl_fahrten[[#This Row],[Anzahl der Besuche (ambulant &amp; stationär durch Patient:innen)]]*pat_inl_fahrten[[#This Row],[Angenommene Entfernung 
One-way '[km']]]*2</f>
        <v>0</v>
      </c>
      <c r="I43" s="238"/>
      <c r="J43" s="238"/>
      <c r="K43"/>
      <c r="L43"/>
    </row>
    <row r="44" spans="2:13" ht="12.75" customHeight="1" x14ac:dyDescent="0.25">
      <c r="B44" s="38" t="s">
        <v>41</v>
      </c>
      <c r="C44" s="2"/>
      <c r="D44" s="224"/>
      <c r="E44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4" s="217">
        <f ca="1">INDEX(OFFSET(Tabelle27[PLZ-Bereich],0,MATCH(pat_inl_fahrten[[#This Row],[Postleitzahlbereich]],Tabelle27[PLZ-Bereich],0)),MATCH(D40,C27:L27,0))</f>
        <v>630</v>
      </c>
      <c r="G44" s="171">
        <f ca="1">pat_inl_fahrten[[#This Row],[Anzahl der Besuche (ambulant &amp; stationär durch Patient:innen)]]*pat_inl_fahrten[[#This Row],[Angenommene Entfernung 
One-way '[km']]]*2</f>
        <v>0</v>
      </c>
      <c r="I44" s="238"/>
      <c r="J44" s="238"/>
      <c r="K44"/>
      <c r="L44"/>
    </row>
    <row r="45" spans="2:13" ht="12.75" customHeight="1" x14ac:dyDescent="0.25">
      <c r="B45" s="38" t="s">
        <v>42</v>
      </c>
      <c r="C45" s="2"/>
      <c r="D45" s="224"/>
      <c r="E45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5" s="217">
        <f ca="1">INDEX(OFFSET(Tabelle27[PLZ-Bereich],0,MATCH(pat_inl_fahrten[[#This Row],[Postleitzahlbereich]],Tabelle27[PLZ-Bereich],0)),MATCH(D40,C27:L27,0))</f>
        <v>650</v>
      </c>
      <c r="G45" s="171">
        <f ca="1">pat_inl_fahrten[[#This Row],[Anzahl der Besuche (ambulant &amp; stationär durch Patient:innen)]]*pat_inl_fahrten[[#This Row],[Angenommene Entfernung 
One-way '[km']]]*2</f>
        <v>0</v>
      </c>
      <c r="I45" s="238"/>
      <c r="J45" s="238"/>
      <c r="K45"/>
      <c r="L45"/>
    </row>
    <row r="46" spans="2:13" ht="12.75" customHeight="1" x14ac:dyDescent="0.25">
      <c r="B46" s="38" t="s">
        <v>43</v>
      </c>
      <c r="C46" s="2"/>
      <c r="D46" s="224"/>
      <c r="E46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6" s="217">
        <f ca="1">INDEX(OFFSET(Tabelle27[PLZ-Bereich],0,MATCH(pat_inl_fahrten[[#This Row],[Postleitzahlbereich]],Tabelle27[PLZ-Bereich],0)),MATCH(D40,C27:L27,0))</f>
        <v>390</v>
      </c>
      <c r="G46" s="171">
        <f ca="1">pat_inl_fahrten[[#This Row],[Anzahl der Besuche (ambulant &amp; stationär durch Patient:innen)]]*pat_inl_fahrten[[#This Row],[Angenommene Entfernung 
One-way '[km']]]*2</f>
        <v>0</v>
      </c>
      <c r="I46" s="238"/>
      <c r="J46" s="238"/>
      <c r="K46"/>
      <c r="L46"/>
    </row>
    <row r="47" spans="2:13" ht="12.75" customHeight="1" x14ac:dyDescent="0.25">
      <c r="B47" s="38" t="s">
        <v>44</v>
      </c>
      <c r="C47" s="2"/>
      <c r="D47" s="224"/>
      <c r="E47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7" s="217">
        <f ca="1">INDEX(OFFSET(Tabelle27[PLZ-Bereich],0,MATCH(pat_inl_fahrten[[#This Row],[Postleitzahlbereich]],Tabelle27[PLZ-Bereich],0)),MATCH(D40,C27:L27,0))</f>
        <v>180</v>
      </c>
      <c r="G47" s="171">
        <f ca="1">pat_inl_fahrten[[#This Row],[Anzahl der Besuche (ambulant &amp; stationär durch Patient:innen)]]*pat_inl_fahrten[[#This Row],[Angenommene Entfernung 
One-way '[km']]]*2</f>
        <v>0</v>
      </c>
      <c r="I47" s="238"/>
      <c r="J47" s="238"/>
      <c r="K47"/>
      <c r="L47"/>
    </row>
    <row r="48" spans="2:13" ht="12.75" customHeight="1" x14ac:dyDescent="0.25">
      <c r="B48" s="38" t="s">
        <v>45</v>
      </c>
      <c r="C48" s="2"/>
      <c r="D48" s="224"/>
      <c r="E48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8" s="217">
        <f ca="1">INDEX(OFFSET(Tabelle27[PLZ-Bereich],0,MATCH(pat_inl_fahrten[[#This Row],[Postleitzahlbereich]],Tabelle27[PLZ-Bereich],0)),MATCH(D40,C27:L27,0))</f>
        <v>350</v>
      </c>
      <c r="G48" s="171">
        <f ca="1">pat_inl_fahrten[[#This Row],[Anzahl der Besuche (ambulant &amp; stationär durch Patient:innen)]]*pat_inl_fahrten[[#This Row],[Angenommene Entfernung 
One-way '[km']]]*2</f>
        <v>0</v>
      </c>
      <c r="I48"/>
      <c r="J48"/>
      <c r="K48"/>
      <c r="L48"/>
    </row>
    <row r="49" spans="1:13" ht="12.75" customHeight="1" x14ac:dyDescent="0.25">
      <c r="B49" s="38" t="s">
        <v>46</v>
      </c>
      <c r="C49" s="2"/>
      <c r="D49" s="224"/>
      <c r="E49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49" s="217">
        <f ca="1">INDEX(OFFSET(Tabelle27[PLZ-Bereich],0,MATCH(pat_inl_fahrten[[#This Row],[Postleitzahlbereich]],Tabelle27[PLZ-Bereich],0)),MATCH(D40,C27:L27,0))</f>
        <v>130</v>
      </c>
      <c r="G49" s="171">
        <f ca="1">pat_inl_fahrten[[#This Row],[Anzahl der Besuche (ambulant &amp; stationär durch Patient:innen)]]*pat_inl_fahrten[[#This Row],[Angenommene Entfernung 
One-way '[km']]]*2</f>
        <v>0</v>
      </c>
      <c r="I49"/>
      <c r="J49"/>
      <c r="K49"/>
      <c r="L49"/>
    </row>
    <row r="50" spans="1:13" ht="12.75" customHeight="1" x14ac:dyDescent="0.2">
      <c r="B50" s="38" t="s">
        <v>47</v>
      </c>
      <c r="C50" s="2"/>
      <c r="D50" s="224"/>
      <c r="E50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0" s="217">
        <f ca="1">INDEX(OFFSET(Tabelle27[PLZ-Bereich],0,MATCH(pat_inl_fahrten[[#This Row],[Postleitzahlbereich]],Tabelle27[PLZ-Bereich],0)),MATCH(D40,C27:L27,0))</f>
        <v>20</v>
      </c>
      <c r="G50" s="171">
        <f ca="1">pat_inl_fahrten[[#This Row],[Anzahl der Besuche (ambulant &amp; stationär durch Patient:innen)]]*pat_inl_fahrten[[#This Row],[Angenommene Entfernung 
One-way '[km']]]*2</f>
        <v>0</v>
      </c>
    </row>
    <row r="51" spans="1:13" ht="12.75" customHeight="1" x14ac:dyDescent="0.2">
      <c r="B51" s="38" t="s">
        <v>48</v>
      </c>
      <c r="C51" s="2"/>
      <c r="D51" s="224"/>
      <c r="E51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1" s="217">
        <f ca="1">INDEX(OFFSET(Tabelle27[PLZ-Bereich],0,MATCH(pat_inl_fahrten[[#This Row],[Postleitzahlbereich]],Tabelle27[PLZ-Bereich],0)),MATCH(D40,C27:L27,0))</f>
        <v>230</v>
      </c>
      <c r="G51" s="171">
        <f ca="1">pat_inl_fahrten[[#This Row],[Anzahl der Besuche (ambulant &amp; stationär durch Patient:innen)]]*pat_inl_fahrten[[#This Row],[Angenommene Entfernung 
One-way '[km']]]*2</f>
        <v>0</v>
      </c>
    </row>
    <row r="52" spans="1:13" ht="12.75" customHeight="1" x14ac:dyDescent="0.2">
      <c r="B52" s="38" t="s">
        <v>49</v>
      </c>
      <c r="C52" s="2"/>
      <c r="D52" s="224"/>
      <c r="E52" s="216" t="str">
        <f>IFERROR(pat_inl_fahrten[[#This Row],[Anzahl der Besuche (ambulant &amp; stationär durch Patient:innen)]]/pat_inl_fahrten[[#Totals],[Anzahl der Besuche (ambulant &amp; stationär durch Patient:innen)]],"k.A.")</f>
        <v>k.A.</v>
      </c>
      <c r="F52" s="217">
        <f ca="1">INDEX(OFFSET(Tabelle27[PLZ-Bereich],0,MATCH(pat_inl_fahrten[[#This Row],[Postleitzahlbereich]],Tabelle27[PLZ-Bereich],0)),MATCH(D40,C27:L27,0))</f>
        <v>210</v>
      </c>
      <c r="G52" s="171">
        <f ca="1">pat_inl_fahrten[[#This Row],[Anzahl der Besuche (ambulant &amp; stationär durch Patient:innen)]]*pat_inl_fahrten[[#This Row],[Angenommene Entfernung 
One-way '[km']]]*2</f>
        <v>0</v>
      </c>
    </row>
    <row r="53" spans="1:13" ht="12.75" customHeight="1" x14ac:dyDescent="0.2">
      <c r="B53" s="169" t="s">
        <v>0</v>
      </c>
      <c r="C53" s="2"/>
      <c r="D53" s="218">
        <f>SUBTOTAL(109,pat_inl_fahrten[Anzahl der Besuche (ambulant &amp; stationär durch Patient:innen)])</f>
        <v>0</v>
      </c>
      <c r="E53" s="219">
        <f>SUBTOTAL(109,pat_inl_fahrten[Anteil '[%']])</f>
        <v>0</v>
      </c>
      <c r="F53" s="169"/>
      <c r="G53" s="172">
        <f ca="1">SUBTOTAL(109,pat_inl_fahrten[Gesamtdistanzen Regelkontakte '[Pkm']])</f>
        <v>0</v>
      </c>
    </row>
    <row r="54" spans="1:13" x14ac:dyDescent="0.2">
      <c r="D54" s="50"/>
      <c r="E54" s="50"/>
      <c r="F54" s="50"/>
      <c r="G54" s="50"/>
    </row>
    <row r="55" spans="1:13" x14ac:dyDescent="0.2">
      <c r="B55" s="227" t="s">
        <v>248</v>
      </c>
      <c r="C55" s="222"/>
      <c r="D55" s="222"/>
      <c r="E55" s="222"/>
      <c r="F55" s="222"/>
      <c r="G55" s="222"/>
      <c r="H55" s="222"/>
      <c r="I55" s="222"/>
      <c r="J55" s="222"/>
    </row>
    <row r="56" spans="1:13" ht="27" x14ac:dyDescent="0.2">
      <c r="B56" s="220" t="s">
        <v>32</v>
      </c>
      <c r="C56" s="225" t="s">
        <v>138</v>
      </c>
      <c r="D56" s="221" t="s">
        <v>220</v>
      </c>
      <c r="E56" s="221" t="s">
        <v>249</v>
      </c>
      <c r="F56" s="225" t="s">
        <v>178</v>
      </c>
      <c r="G56" s="225" t="s">
        <v>179</v>
      </c>
      <c r="H56" s="244" t="s">
        <v>243</v>
      </c>
      <c r="I56" s="221" t="s">
        <v>153</v>
      </c>
      <c r="J56" s="221" t="s">
        <v>33</v>
      </c>
    </row>
    <row r="57" spans="1:13" x14ac:dyDescent="0.2">
      <c r="B57" s="38" t="s">
        <v>31</v>
      </c>
      <c r="C57" s="2"/>
      <c r="D57" s="231">
        <f ca="1">pat_inl_fahrten[[#Totals],[Gesamtdistanzen Regelkontakte '[Pkm']]]</f>
        <v>0</v>
      </c>
      <c r="E57" s="230">
        <v>0.16200000000000001</v>
      </c>
      <c r="F57" s="2"/>
      <c r="G57" s="2"/>
      <c r="H57" s="232">
        <f ca="1">D57*E57</f>
        <v>0</v>
      </c>
      <c r="I57" s="180" t="s">
        <v>196</v>
      </c>
      <c r="J57" s="180" t="s">
        <v>268</v>
      </c>
    </row>
    <row r="58" spans="1:13" x14ac:dyDescent="0.2">
      <c r="B58" s="184" t="s">
        <v>143</v>
      </c>
      <c r="C58" s="245"/>
      <c r="D58" s="246"/>
      <c r="E58" s="246"/>
      <c r="F58" s="245"/>
      <c r="G58" s="245"/>
      <c r="H58" s="248">
        <f ca="1">SUBTOTAL(109,pat_inl_ergeb[Ergebnis 
'[kg CO2e / Jahr']])</f>
        <v>0</v>
      </c>
      <c r="I58" s="247"/>
      <c r="J58" s="247"/>
    </row>
    <row r="59" spans="1:13" x14ac:dyDescent="0.2">
      <c r="D59" s="50"/>
      <c r="E59" s="50"/>
      <c r="F59" s="50"/>
      <c r="G59" s="50"/>
    </row>
    <row r="60" spans="1:13" ht="5.0999999999999996" customHeight="1" x14ac:dyDescent="0.2">
      <c r="D60" s="50"/>
      <c r="E60" s="50"/>
      <c r="F60" s="50"/>
      <c r="G60" s="50"/>
    </row>
    <row r="61" spans="1:13" x14ac:dyDescent="0.2">
      <c r="A61" s="58" t="s">
        <v>296</v>
      </c>
      <c r="B61" s="271"/>
      <c r="C61" s="59"/>
      <c r="D61" s="60"/>
      <c r="E61" s="60"/>
      <c r="F61" s="60"/>
      <c r="G61" s="60"/>
      <c r="H61" s="60"/>
      <c r="I61" s="60"/>
      <c r="J61" s="60"/>
      <c r="K61" s="60"/>
      <c r="L61" s="59"/>
      <c r="M61" s="61"/>
    </row>
    <row r="62" spans="1:13" x14ac:dyDescent="0.2">
      <c r="D62" s="50"/>
      <c r="E62" s="50"/>
      <c r="F62" s="50"/>
      <c r="G62" s="50"/>
    </row>
    <row r="63" spans="1:13" ht="38.25" x14ac:dyDescent="0.2">
      <c r="B63" s="34" t="s">
        <v>224</v>
      </c>
      <c r="C63" s="34" t="s">
        <v>163</v>
      </c>
      <c r="D63" s="35" t="s">
        <v>271</v>
      </c>
      <c r="E63" s="35" t="s">
        <v>225</v>
      </c>
    </row>
    <row r="64" spans="1:13" x14ac:dyDescent="0.2">
      <c r="B64" s="38" t="s">
        <v>55</v>
      </c>
      <c r="C64" s="38" t="s">
        <v>35</v>
      </c>
      <c r="D64" s="39"/>
      <c r="E64" s="40"/>
    </row>
    <row r="65" spans="2:7" x14ac:dyDescent="0.2">
      <c r="B65" s="38" t="s">
        <v>56</v>
      </c>
      <c r="C65" s="38" t="s">
        <v>36</v>
      </c>
      <c r="D65" s="39"/>
      <c r="E65" s="40"/>
    </row>
    <row r="66" spans="2:7" x14ac:dyDescent="0.2">
      <c r="B66" s="38" t="s">
        <v>57</v>
      </c>
      <c r="C66" s="38" t="s">
        <v>38</v>
      </c>
      <c r="D66" s="39"/>
      <c r="E66" s="40"/>
    </row>
    <row r="67" spans="2:7" x14ac:dyDescent="0.2">
      <c r="B67" s="38" t="s">
        <v>58</v>
      </c>
      <c r="C67" s="38" t="s">
        <v>36</v>
      </c>
      <c r="D67" s="39"/>
      <c r="E67" s="40"/>
    </row>
    <row r="68" spans="2:7" x14ac:dyDescent="0.2">
      <c r="B68" s="38" t="s">
        <v>59</v>
      </c>
      <c r="C68" s="38" t="s">
        <v>37</v>
      </c>
      <c r="D68" s="39"/>
      <c r="E68" s="40"/>
    </row>
    <row r="69" spans="2:7" x14ac:dyDescent="0.2">
      <c r="B69" s="38" t="s">
        <v>60</v>
      </c>
      <c r="C69" s="38" t="s">
        <v>35</v>
      </c>
      <c r="D69" s="39"/>
      <c r="E69" s="40"/>
    </row>
    <row r="70" spans="2:7" x14ac:dyDescent="0.2">
      <c r="B70" s="38" t="s">
        <v>61</v>
      </c>
      <c r="C70" s="38" t="s">
        <v>36</v>
      </c>
      <c r="D70" s="39"/>
      <c r="E70" s="40"/>
    </row>
    <row r="71" spans="2:7" x14ac:dyDescent="0.2">
      <c r="B71" s="38" t="s">
        <v>63</v>
      </c>
      <c r="C71" s="38" t="s">
        <v>37</v>
      </c>
      <c r="D71" s="39"/>
      <c r="E71" s="40"/>
      <c r="F71" s="50"/>
      <c r="G71" s="50"/>
    </row>
    <row r="72" spans="2:7" x14ac:dyDescent="0.2">
      <c r="B72" s="38" t="s">
        <v>65</v>
      </c>
      <c r="C72" s="38" t="s">
        <v>37</v>
      </c>
      <c r="D72" s="39"/>
      <c r="E72" s="40"/>
      <c r="F72" s="50"/>
      <c r="G72" s="50"/>
    </row>
    <row r="73" spans="2:7" x14ac:dyDescent="0.2">
      <c r="B73" s="38" t="s">
        <v>66</v>
      </c>
      <c r="C73" s="38" t="s">
        <v>37</v>
      </c>
      <c r="D73" s="39"/>
      <c r="E73" s="40"/>
      <c r="F73" s="50"/>
      <c r="G73" s="50"/>
    </row>
    <row r="74" spans="2:7" x14ac:dyDescent="0.2">
      <c r="B74" s="38" t="s">
        <v>67</v>
      </c>
      <c r="C74" s="38" t="s">
        <v>37</v>
      </c>
      <c r="D74" s="39"/>
      <c r="E74" s="40"/>
      <c r="F74" s="50"/>
      <c r="G74" s="50"/>
    </row>
    <row r="75" spans="2:7" x14ac:dyDescent="0.2">
      <c r="B75" s="38" t="s">
        <v>68</v>
      </c>
      <c r="C75" s="38" t="s">
        <v>36</v>
      </c>
      <c r="D75" s="39"/>
      <c r="E75" s="40"/>
      <c r="F75" s="50"/>
      <c r="G75" s="50"/>
    </row>
    <row r="76" spans="2:7" x14ac:dyDescent="0.2">
      <c r="B76" s="38" t="s">
        <v>69</v>
      </c>
      <c r="C76" s="38" t="s">
        <v>37</v>
      </c>
      <c r="D76" s="39"/>
      <c r="E76" s="40"/>
      <c r="F76" s="50"/>
      <c r="G76" s="50"/>
    </row>
    <row r="77" spans="2:7" x14ac:dyDescent="0.2">
      <c r="B77" s="38" t="s">
        <v>70</v>
      </c>
      <c r="C77" s="38" t="s">
        <v>36</v>
      </c>
      <c r="D77" s="39"/>
      <c r="E77" s="40"/>
      <c r="F77" s="50"/>
      <c r="G77" s="50"/>
    </row>
    <row r="78" spans="2:7" x14ac:dyDescent="0.2">
      <c r="B78" s="38" t="s">
        <v>71</v>
      </c>
      <c r="C78" s="38" t="s">
        <v>37</v>
      </c>
      <c r="D78" s="39"/>
      <c r="E78" s="40"/>
      <c r="F78" s="50"/>
      <c r="G78" s="50"/>
    </row>
    <row r="79" spans="2:7" x14ac:dyDescent="0.2">
      <c r="B79" s="38" t="s">
        <v>72</v>
      </c>
      <c r="C79" s="38" t="s">
        <v>36</v>
      </c>
      <c r="D79" s="39"/>
      <c r="E79" s="40"/>
      <c r="F79" s="50"/>
      <c r="G79" s="50"/>
    </row>
    <row r="80" spans="2:7" x14ac:dyDescent="0.2">
      <c r="B80" s="38" t="s">
        <v>73</v>
      </c>
      <c r="C80" s="38" t="s">
        <v>35</v>
      </c>
      <c r="D80" s="39"/>
      <c r="E80" s="40"/>
      <c r="F80" s="50"/>
      <c r="G80" s="50"/>
    </row>
    <row r="81" spans="2:7" x14ac:dyDescent="0.2">
      <c r="B81" s="38" t="s">
        <v>74</v>
      </c>
      <c r="C81" s="38" t="s">
        <v>36</v>
      </c>
      <c r="D81" s="39"/>
      <c r="E81" s="40"/>
      <c r="F81" s="50"/>
      <c r="G81" s="50"/>
    </row>
    <row r="82" spans="2:7" x14ac:dyDescent="0.2">
      <c r="B82" s="38" t="s">
        <v>75</v>
      </c>
      <c r="C82" s="38" t="s">
        <v>35</v>
      </c>
      <c r="D82" s="39"/>
      <c r="E82" s="40"/>
      <c r="F82" s="50"/>
      <c r="G82" s="50"/>
    </row>
    <row r="83" spans="2:7" x14ac:dyDescent="0.2">
      <c r="B83" s="38" t="s">
        <v>162</v>
      </c>
      <c r="C83" s="38" t="s">
        <v>37</v>
      </c>
      <c r="D83" s="39"/>
      <c r="E83" s="40"/>
      <c r="F83" s="50"/>
      <c r="G83" s="50"/>
    </row>
    <row r="84" spans="2:7" x14ac:dyDescent="0.2">
      <c r="B84" s="38" t="s">
        <v>76</v>
      </c>
      <c r="C84" s="38" t="s">
        <v>37</v>
      </c>
      <c r="D84" s="39"/>
      <c r="E84" s="40"/>
      <c r="F84" s="50"/>
      <c r="G84" s="50"/>
    </row>
    <row r="85" spans="2:7" x14ac:dyDescent="0.2">
      <c r="B85" s="38" t="s">
        <v>78</v>
      </c>
      <c r="C85" s="38" t="s">
        <v>34</v>
      </c>
      <c r="D85" s="39"/>
      <c r="E85" s="40"/>
      <c r="F85" s="50"/>
      <c r="G85" s="50"/>
    </row>
    <row r="86" spans="2:7" x14ac:dyDescent="0.2">
      <c r="B86" s="38" t="s">
        <v>79</v>
      </c>
      <c r="C86" s="38" t="s">
        <v>36</v>
      </c>
      <c r="D86" s="39"/>
      <c r="E86" s="40"/>
      <c r="F86" s="50"/>
      <c r="G86" s="50"/>
    </row>
    <row r="87" spans="2:7" x14ac:dyDescent="0.2">
      <c r="B87" s="38" t="s">
        <v>155</v>
      </c>
      <c r="C87" s="38" t="s">
        <v>37</v>
      </c>
      <c r="D87" s="39"/>
      <c r="E87" s="40"/>
      <c r="F87" s="50"/>
      <c r="G87" s="50"/>
    </row>
    <row r="88" spans="2:7" x14ac:dyDescent="0.2">
      <c r="B88" s="38" t="s">
        <v>80</v>
      </c>
      <c r="C88" s="38" t="s">
        <v>36</v>
      </c>
      <c r="D88" s="39"/>
      <c r="E88" s="40"/>
      <c r="F88" s="50"/>
      <c r="G88" s="50"/>
    </row>
    <row r="89" spans="2:7" x14ac:dyDescent="0.2">
      <c r="B89" s="38" t="s">
        <v>82</v>
      </c>
      <c r="C89" s="38" t="s">
        <v>38</v>
      </c>
      <c r="D89" s="39"/>
      <c r="E89" s="40"/>
      <c r="F89" s="50"/>
      <c r="G89" s="50"/>
    </row>
    <row r="90" spans="2:7" x14ac:dyDescent="0.2">
      <c r="B90" s="38" t="s">
        <v>83</v>
      </c>
      <c r="C90" s="38" t="s">
        <v>37</v>
      </c>
      <c r="D90" s="39"/>
      <c r="E90" s="40"/>
      <c r="F90" s="50"/>
      <c r="G90" s="50"/>
    </row>
    <row r="91" spans="2:7" x14ac:dyDescent="0.2">
      <c r="B91" s="38" t="s">
        <v>84</v>
      </c>
      <c r="C91" s="38" t="s">
        <v>37</v>
      </c>
      <c r="D91" s="39"/>
      <c r="E91" s="40"/>
      <c r="F91" s="50"/>
      <c r="G91" s="50"/>
    </row>
    <row r="92" spans="2:7" x14ac:dyDescent="0.2">
      <c r="B92" s="38" t="s">
        <v>85</v>
      </c>
      <c r="C92" s="38" t="s">
        <v>37</v>
      </c>
      <c r="D92" s="39"/>
      <c r="E92" s="40"/>
      <c r="F92" s="50"/>
      <c r="G92" s="50"/>
    </row>
    <row r="93" spans="2:7" x14ac:dyDescent="0.2">
      <c r="B93" s="38" t="s">
        <v>86</v>
      </c>
      <c r="C93" s="38" t="s">
        <v>35</v>
      </c>
      <c r="D93" s="39"/>
      <c r="E93" s="40"/>
      <c r="F93" s="50"/>
      <c r="G93" s="50"/>
    </row>
    <row r="94" spans="2:7" x14ac:dyDescent="0.2">
      <c r="B94" s="38" t="s">
        <v>87</v>
      </c>
      <c r="C94" s="38" t="s">
        <v>37</v>
      </c>
      <c r="D94" s="39"/>
      <c r="E94" s="40"/>
      <c r="F94" s="50"/>
      <c r="G94" s="50"/>
    </row>
    <row r="95" spans="2:7" x14ac:dyDescent="0.2">
      <c r="B95" s="38" t="s">
        <v>88</v>
      </c>
      <c r="C95" s="38" t="s">
        <v>37</v>
      </c>
      <c r="D95" s="39"/>
      <c r="E95" s="40"/>
      <c r="F95" s="50"/>
      <c r="G95" s="50"/>
    </row>
    <row r="96" spans="2:7" x14ac:dyDescent="0.2">
      <c r="B96" s="38" t="s">
        <v>89</v>
      </c>
      <c r="C96" s="38" t="s">
        <v>36</v>
      </c>
      <c r="D96" s="39"/>
      <c r="E96" s="40"/>
      <c r="F96" s="50"/>
      <c r="G96" s="50"/>
    </row>
    <row r="97" spans="2:7" x14ac:dyDescent="0.2">
      <c r="B97" s="38" t="s">
        <v>90</v>
      </c>
      <c r="C97" s="38" t="s">
        <v>37</v>
      </c>
      <c r="D97" s="39"/>
      <c r="E97" s="40"/>
      <c r="F97" s="50"/>
      <c r="G97" s="50"/>
    </row>
    <row r="98" spans="2:7" x14ac:dyDescent="0.2">
      <c r="B98" s="38" t="s">
        <v>91</v>
      </c>
      <c r="C98" s="38" t="s">
        <v>36</v>
      </c>
      <c r="D98" s="39"/>
      <c r="E98" s="40"/>
      <c r="F98" s="50"/>
      <c r="G98" s="50"/>
    </row>
    <row r="99" spans="2:7" x14ac:dyDescent="0.2">
      <c r="B99" s="38" t="s">
        <v>92</v>
      </c>
      <c r="C99" s="38" t="s">
        <v>37</v>
      </c>
      <c r="D99" s="39"/>
      <c r="E99" s="40"/>
      <c r="F99" s="50"/>
      <c r="G99" s="50"/>
    </row>
    <row r="100" spans="2:7" x14ac:dyDescent="0.2">
      <c r="B100" s="38" t="s">
        <v>93</v>
      </c>
      <c r="C100" s="38" t="s">
        <v>37</v>
      </c>
      <c r="D100" s="39"/>
      <c r="E100" s="40"/>
      <c r="F100" s="50"/>
      <c r="G100" s="50"/>
    </row>
    <row r="101" spans="2:7" x14ac:dyDescent="0.2">
      <c r="B101" s="38" t="s">
        <v>94</v>
      </c>
      <c r="C101" s="38" t="s">
        <v>37</v>
      </c>
      <c r="D101" s="39"/>
      <c r="E101" s="40"/>
      <c r="F101" s="50"/>
      <c r="G101" s="50"/>
    </row>
    <row r="102" spans="2:7" x14ac:dyDescent="0.2">
      <c r="B102" s="38" t="s">
        <v>95</v>
      </c>
      <c r="C102" s="38" t="s">
        <v>36</v>
      </c>
      <c r="D102" s="39"/>
      <c r="E102" s="40"/>
      <c r="F102" s="50"/>
      <c r="G102" s="50"/>
    </row>
    <row r="103" spans="2:7" x14ac:dyDescent="0.2">
      <c r="B103" s="38" t="s">
        <v>97</v>
      </c>
      <c r="C103" s="38" t="s">
        <v>37</v>
      </c>
      <c r="D103" s="39"/>
      <c r="E103" s="40"/>
      <c r="F103" s="50"/>
      <c r="G103" s="50"/>
    </row>
    <row r="104" spans="2:7" x14ac:dyDescent="0.2">
      <c r="B104" s="38" t="s">
        <v>98</v>
      </c>
      <c r="C104" s="38" t="s">
        <v>37</v>
      </c>
      <c r="D104" s="39"/>
      <c r="E104" s="40"/>
      <c r="F104" s="50"/>
      <c r="G104" s="50"/>
    </row>
    <row r="105" spans="2:7" x14ac:dyDescent="0.2">
      <c r="B105" s="38" t="s">
        <v>99</v>
      </c>
      <c r="C105" s="38" t="s">
        <v>34</v>
      </c>
      <c r="D105" s="39"/>
      <c r="E105" s="40"/>
      <c r="F105" s="50"/>
      <c r="G105" s="50"/>
    </row>
    <row r="106" spans="2:7" x14ac:dyDescent="0.2">
      <c r="B106" s="38" t="s">
        <v>100</v>
      </c>
      <c r="C106" s="38" t="s">
        <v>36</v>
      </c>
      <c r="D106" s="39"/>
      <c r="E106" s="40"/>
      <c r="F106" s="50"/>
      <c r="G106" s="50"/>
    </row>
    <row r="107" spans="2:7" x14ac:dyDescent="0.2">
      <c r="B107" s="38" t="s">
        <v>101</v>
      </c>
      <c r="C107" s="38" t="s">
        <v>36</v>
      </c>
      <c r="D107" s="39"/>
      <c r="E107" s="40"/>
      <c r="F107" s="50"/>
      <c r="G107" s="50"/>
    </row>
    <row r="108" spans="2:7" x14ac:dyDescent="0.2">
      <c r="B108" s="38" t="s">
        <v>102</v>
      </c>
      <c r="C108" s="38" t="s">
        <v>37</v>
      </c>
      <c r="D108" s="39"/>
      <c r="E108" s="40"/>
      <c r="F108" s="50"/>
      <c r="G108" s="50"/>
    </row>
    <row r="109" spans="2:7" x14ac:dyDescent="0.2">
      <c r="B109" s="38" t="s">
        <v>103</v>
      </c>
      <c r="C109" s="38" t="s">
        <v>37</v>
      </c>
      <c r="D109" s="39"/>
      <c r="E109" s="40"/>
      <c r="F109" s="50"/>
      <c r="G109" s="50"/>
    </row>
    <row r="110" spans="2:7" x14ac:dyDescent="0.2">
      <c r="B110" s="38" t="s">
        <v>104</v>
      </c>
      <c r="C110" s="38" t="s">
        <v>37</v>
      </c>
      <c r="D110" s="39"/>
      <c r="E110" s="40"/>
    </row>
    <row r="111" spans="2:7" x14ac:dyDescent="0.2">
      <c r="B111" s="38" t="s">
        <v>105</v>
      </c>
      <c r="C111" s="38" t="s">
        <v>36</v>
      </c>
      <c r="D111" s="39"/>
      <c r="E111" s="40"/>
    </row>
    <row r="112" spans="2:7" x14ac:dyDescent="0.2">
      <c r="B112" s="38" t="s">
        <v>156</v>
      </c>
      <c r="C112" s="38" t="s">
        <v>35</v>
      </c>
      <c r="D112" s="39"/>
      <c r="E112" s="40"/>
    </row>
    <row r="113" spans="2:10" x14ac:dyDescent="0.2">
      <c r="B113" s="241" t="s">
        <v>176</v>
      </c>
      <c r="C113" s="242" t="s">
        <v>37</v>
      </c>
      <c r="D113" s="39"/>
      <c r="E113" s="243" t="s">
        <v>177</v>
      </c>
    </row>
    <row r="114" spans="2:10" x14ac:dyDescent="0.2">
      <c r="B114" s="241" t="s">
        <v>176</v>
      </c>
      <c r="C114" s="242" t="s">
        <v>35</v>
      </c>
      <c r="D114" s="39"/>
      <c r="E114" s="243" t="s">
        <v>177</v>
      </c>
    </row>
    <row r="115" spans="2:10" x14ac:dyDescent="0.2">
      <c r="B115" s="241" t="s">
        <v>176</v>
      </c>
      <c r="C115" s="242" t="s">
        <v>34</v>
      </c>
      <c r="D115" s="39"/>
      <c r="E115" s="243" t="s">
        <v>177</v>
      </c>
    </row>
    <row r="116" spans="2:10" x14ac:dyDescent="0.2">
      <c r="B116" s="241" t="s">
        <v>176</v>
      </c>
      <c r="C116" s="242" t="s">
        <v>36</v>
      </c>
      <c r="D116" s="39"/>
      <c r="E116" s="243" t="s">
        <v>177</v>
      </c>
    </row>
    <row r="117" spans="2:10" x14ac:dyDescent="0.2">
      <c r="B117" s="241" t="s">
        <v>176</v>
      </c>
      <c r="C117" s="242" t="s">
        <v>38</v>
      </c>
      <c r="D117" s="240"/>
      <c r="E117" s="243" t="s">
        <v>177</v>
      </c>
    </row>
    <row r="118" spans="2:10" x14ac:dyDescent="0.2">
      <c r="D118" s="50"/>
      <c r="E118" s="50"/>
      <c r="F118" s="50"/>
      <c r="G118" s="50"/>
    </row>
    <row r="119" spans="2:10" x14ac:dyDescent="0.2">
      <c r="B119" s="227" t="s">
        <v>247</v>
      </c>
      <c r="C119" s="222"/>
      <c r="D119" s="222"/>
      <c r="E119" s="222"/>
      <c r="F119" s="222"/>
      <c r="G119" s="222"/>
      <c r="H119" s="222"/>
      <c r="I119" s="222"/>
      <c r="J119" s="222"/>
    </row>
    <row r="120" spans="2:10" ht="27" x14ac:dyDescent="0.25">
      <c r="B120" s="34" t="s">
        <v>212</v>
      </c>
      <c r="C120" s="34" t="s">
        <v>160</v>
      </c>
      <c r="D120" s="71" t="s">
        <v>145</v>
      </c>
      <c r="E120" s="35" t="s">
        <v>222</v>
      </c>
      <c r="F120" s="71" t="s">
        <v>266</v>
      </c>
      <c r="G120" s="36" t="s">
        <v>244</v>
      </c>
      <c r="H120" s="235" t="s">
        <v>243</v>
      </c>
      <c r="I120" s="37" t="s">
        <v>269</v>
      </c>
      <c r="J120" s="37" t="s">
        <v>33</v>
      </c>
    </row>
    <row r="121" spans="2:10" x14ac:dyDescent="0.2">
      <c r="B121" s="38" t="s">
        <v>158</v>
      </c>
      <c r="C121" s="38" t="s">
        <v>37</v>
      </c>
      <c r="D121" s="40">
        <f>SUMIFS(Pat_ausl_Flüge[Anzahl der Besuche (ambulant &amp; stationär durch Patient:innen)],Pat_ausl_Flüge[Region (Zuordnung)],Pat_ausl_ergeb[[#This Row],[Zielland]])</f>
        <v>0</v>
      </c>
      <c r="E121" s="40">
        <v>1500</v>
      </c>
      <c r="F121" s="40">
        <f>Pat_ausl_ergeb[[#This Row],[Anzahl Flüge]]*Pat_ausl_ergeb[[#This Row],[Annahme Entfernung One-Way '[km']]]*2</f>
        <v>0</v>
      </c>
      <c r="G121" s="41">
        <v>0.254</v>
      </c>
      <c r="H121" s="42">
        <f>Pat_ausl_ergeb[[#This Row],[Gesamte Distanz 
'[Pkm / Jahr']]]*Pat_ausl_ergeb[[#This Row],[Emissionsfaktor 
'[kg CO2e / Pkm']]]</f>
        <v>0</v>
      </c>
      <c r="I121" s="183" t="s">
        <v>150</v>
      </c>
      <c r="J121" s="43" t="s">
        <v>270</v>
      </c>
    </row>
    <row r="122" spans="2:10" x14ac:dyDescent="0.2">
      <c r="B122" s="38" t="s">
        <v>158</v>
      </c>
      <c r="C122" s="38" t="s">
        <v>35</v>
      </c>
      <c r="D122" s="40">
        <f>SUMIFS(Pat_ausl_Flüge[Anzahl der Besuche (ambulant &amp; stationär durch Patient:innen)],Pat_ausl_Flüge[Region (Zuordnung)],Pat_ausl_ergeb[[#This Row],[Zielland]])</f>
        <v>0</v>
      </c>
      <c r="E122" s="40">
        <v>8000</v>
      </c>
      <c r="F122" s="40">
        <f>Pat_ausl_ergeb[[#This Row],[Anzahl Flüge]]*Pat_ausl_ergeb[[#This Row],[Annahme Entfernung One-Way '[km']]]*2</f>
        <v>0</v>
      </c>
      <c r="G122" s="41">
        <v>0.249</v>
      </c>
      <c r="H122" s="42">
        <f>Pat_ausl_ergeb[[#This Row],[Gesamte Distanz 
'[Pkm / Jahr']]]*Pat_ausl_ergeb[[#This Row],[Emissionsfaktor 
'[kg CO2e / Pkm']]]</f>
        <v>0</v>
      </c>
      <c r="I122" s="183" t="s">
        <v>148</v>
      </c>
      <c r="J122" s="43" t="s">
        <v>270</v>
      </c>
    </row>
    <row r="123" spans="2:10" x14ac:dyDescent="0.2">
      <c r="B123" s="38" t="s">
        <v>158</v>
      </c>
      <c r="C123" s="38" t="s">
        <v>34</v>
      </c>
      <c r="D123" s="40">
        <f>SUMIFS(Pat_ausl_Flüge[Anzahl der Besuche (ambulant &amp; stationär durch Patient:innen)],Pat_ausl_Flüge[Region (Zuordnung)],Pat_ausl_ergeb[[#This Row],[Zielland]])</f>
        <v>0</v>
      </c>
      <c r="E123" s="40">
        <v>14000</v>
      </c>
      <c r="F123" s="40">
        <f>Pat_ausl_ergeb[[#This Row],[Anzahl Flüge]]*Pat_ausl_ergeb[[#This Row],[Annahme Entfernung One-Way '[km']]]*2</f>
        <v>0</v>
      </c>
      <c r="G123" s="41">
        <v>0.249</v>
      </c>
      <c r="H123" s="42">
        <f>Pat_ausl_ergeb[[#This Row],[Gesamte Distanz 
'[Pkm / Jahr']]]*Pat_ausl_ergeb[[#This Row],[Emissionsfaktor 
'[kg CO2e / Pkm']]]</f>
        <v>0</v>
      </c>
      <c r="I123" s="183" t="s">
        <v>149</v>
      </c>
      <c r="J123" s="43" t="s">
        <v>270</v>
      </c>
    </row>
    <row r="124" spans="2:10" x14ac:dyDescent="0.2">
      <c r="B124" s="38" t="s">
        <v>158</v>
      </c>
      <c r="C124" s="38" t="s">
        <v>36</v>
      </c>
      <c r="D124" s="40">
        <f>SUMIFS(Pat_ausl_Flüge[Anzahl der Besuche (ambulant &amp; stationär durch Patient:innen)],Pat_ausl_Flüge[Region (Zuordnung)],Pat_ausl_ergeb[[#This Row],[Zielland]])</f>
        <v>0</v>
      </c>
      <c r="E124" s="40">
        <v>10000</v>
      </c>
      <c r="F124" s="40">
        <f>Pat_ausl_ergeb[[#This Row],[Anzahl Flüge]]*Pat_ausl_ergeb[[#This Row],[Annahme Entfernung One-Way '[km']]]*2</f>
        <v>0</v>
      </c>
      <c r="G124" s="41">
        <v>0.249</v>
      </c>
      <c r="H124" s="42">
        <f>Pat_ausl_ergeb[[#This Row],[Gesamte Distanz 
'[Pkm / Jahr']]]*Pat_ausl_ergeb[[#This Row],[Emissionsfaktor 
'[kg CO2e / Pkm']]]</f>
        <v>0</v>
      </c>
      <c r="I124" s="183" t="s">
        <v>152</v>
      </c>
      <c r="J124" s="43" t="s">
        <v>270</v>
      </c>
    </row>
    <row r="125" spans="2:10" x14ac:dyDescent="0.2">
      <c r="B125" s="38" t="s">
        <v>158</v>
      </c>
      <c r="C125" s="38" t="s">
        <v>38</v>
      </c>
      <c r="D125" s="40">
        <f>SUMIFS(Pat_ausl_Flüge[Anzahl der Besuche (ambulant &amp; stationär durch Patient:innen)],Pat_ausl_Flüge[Region (Zuordnung)],Pat_ausl_ergeb[[#This Row],[Zielland]])</f>
        <v>0</v>
      </c>
      <c r="E125" s="40">
        <v>17000</v>
      </c>
      <c r="F125" s="40">
        <f>Pat_ausl_ergeb[[#This Row],[Anzahl Flüge]]*Pat_ausl_ergeb[[#This Row],[Annahme Entfernung One-Way '[km']]]*2</f>
        <v>0</v>
      </c>
      <c r="G125" s="41">
        <v>0.249</v>
      </c>
      <c r="H125" s="42">
        <f>Pat_ausl_ergeb[[#This Row],[Gesamte Distanz 
'[Pkm / Jahr']]]*Pat_ausl_ergeb[[#This Row],[Emissionsfaktor 
'[kg CO2e / Pkm']]]</f>
        <v>0</v>
      </c>
      <c r="I125" s="183" t="s">
        <v>154</v>
      </c>
      <c r="J125" s="43" t="s">
        <v>270</v>
      </c>
    </row>
    <row r="126" spans="2:10" x14ac:dyDescent="0.2">
      <c r="B126" s="184" t="s">
        <v>143</v>
      </c>
      <c r="C126" s="184"/>
      <c r="D126" s="187">
        <f>SUBTOTAL(109,Pat_ausl_ergeb[Anzahl Flüge])</f>
        <v>0</v>
      </c>
      <c r="E126" s="185"/>
      <c r="F126" s="185"/>
      <c r="G126" s="2"/>
      <c r="H126" s="186">
        <f>SUBTOTAL(109,Pat_ausl_ergeb[Ergebnis 
'[kg CO2e / Jahr']])</f>
        <v>0</v>
      </c>
      <c r="I126" s="57"/>
      <c r="J126" s="43"/>
    </row>
    <row r="127" spans="2:10" x14ac:dyDescent="0.2">
      <c r="D127" s="50"/>
      <c r="E127" s="50"/>
      <c r="F127" s="50"/>
      <c r="G127" s="50"/>
    </row>
    <row r="128" spans="2:10" ht="5.0999999999999996" customHeight="1" x14ac:dyDescent="0.2">
      <c r="D128" s="50"/>
      <c r="E128" s="50"/>
      <c r="F128" s="50"/>
      <c r="G128" s="50"/>
    </row>
    <row r="129" spans="1:14" x14ac:dyDescent="0.2">
      <c r="A129" s="58" t="s">
        <v>246</v>
      </c>
      <c r="B129" s="59"/>
      <c r="C129" s="59"/>
      <c r="D129" s="60"/>
      <c r="E129" s="60"/>
      <c r="F129" s="60"/>
      <c r="G129" s="60"/>
      <c r="H129" s="60"/>
      <c r="I129" s="60"/>
      <c r="J129" s="60"/>
      <c r="K129" s="60"/>
      <c r="L129" s="59"/>
      <c r="M129" s="61"/>
    </row>
    <row r="130" spans="1:14" x14ac:dyDescent="0.2">
      <c r="A130" s="43"/>
      <c r="D130" s="50"/>
      <c r="E130" s="50"/>
      <c r="F130" s="50"/>
      <c r="G130" s="50"/>
    </row>
    <row r="131" spans="1:14" ht="27" x14ac:dyDescent="0.25">
      <c r="A131" s="272"/>
      <c r="B131" s="34" t="s">
        <v>227</v>
      </c>
      <c r="C131" s="34" t="s">
        <v>175</v>
      </c>
      <c r="D131" s="82" t="s">
        <v>138</v>
      </c>
      <c r="E131" s="87" t="s">
        <v>178</v>
      </c>
      <c r="F131" s="87" t="s">
        <v>179</v>
      </c>
      <c r="G131" s="87" t="s">
        <v>231</v>
      </c>
      <c r="H131" s="235" t="s">
        <v>243</v>
      </c>
      <c r="I131" s="43"/>
      <c r="J131" s="43"/>
      <c r="K131" s="43"/>
    </row>
    <row r="132" spans="1:14" ht="12.75" customHeight="1" x14ac:dyDescent="0.2">
      <c r="A132" s="273"/>
      <c r="B132" s="38" t="s">
        <v>297</v>
      </c>
      <c r="C132" s="38" t="s">
        <v>228</v>
      </c>
      <c r="D132" s="2"/>
      <c r="E132" s="2"/>
      <c r="F132" s="2"/>
      <c r="G132" s="2"/>
      <c r="H132" s="42">
        <f>pat_notf_heli[[#Totals],[Ergebnis 
'[kg CO2e / Jahr']]]</f>
        <v>0</v>
      </c>
    </row>
    <row r="133" spans="1:14" ht="12.75" customHeight="1" x14ac:dyDescent="0.2">
      <c r="A133" s="273"/>
      <c r="B133" s="38" t="s">
        <v>298</v>
      </c>
      <c r="C133" s="38" t="s">
        <v>229</v>
      </c>
      <c r="D133" s="2"/>
      <c r="E133" s="2"/>
      <c r="F133" s="2"/>
      <c r="G133" s="2"/>
      <c r="H133" s="42">
        <f ca="1">pat_inl_ergeb[[#Totals],[Ergebnis 
'[kg CO2e / Jahr']]]</f>
        <v>0</v>
      </c>
    </row>
    <row r="134" spans="1:14" ht="12.75" customHeight="1" x14ac:dyDescent="0.25">
      <c r="A134" s="273"/>
      <c r="B134" s="44" t="s">
        <v>298</v>
      </c>
      <c r="C134" s="44" t="s">
        <v>230</v>
      </c>
      <c r="D134" s="2"/>
      <c r="E134" s="2"/>
      <c r="F134" s="2"/>
      <c r="G134" s="2"/>
      <c r="H134" s="47">
        <f>Pat_ausl_ergeb[[#Totals],[Ergebnis 
'[kg CO2e / Jahr']]]</f>
        <v>0</v>
      </c>
      <c r="J134"/>
      <c r="K134"/>
      <c r="L134"/>
      <c r="M134"/>
      <c r="N134"/>
    </row>
    <row r="135" spans="1:14" ht="12.75" customHeight="1" x14ac:dyDescent="0.25">
      <c r="A135" s="273"/>
      <c r="B135" s="44" t="s">
        <v>245</v>
      </c>
      <c r="C135" s="44"/>
      <c r="D135" s="2"/>
      <c r="E135" s="2"/>
      <c r="F135" s="2"/>
      <c r="G135" s="2"/>
      <c r="H135" s="47">
        <f ca="1">SUBTOTAL(109,pat_mobi_gesamt[Ergebnis 
'[kg CO2e / Jahr']])</f>
        <v>0</v>
      </c>
      <c r="I135" s="340" t="s">
        <v>306</v>
      </c>
      <c r="J135" s="341"/>
      <c r="K135" s="341"/>
      <c r="L135"/>
      <c r="M135"/>
      <c r="N135"/>
    </row>
  </sheetData>
  <sheetProtection algorithmName="SHA-512" hashValue="ac5M4AAEeNAW/0KFJ64602V8kEQnJE0+/UnykDA3mZLF6UghaZ2VmaYU3a6ycpaw/U3lJ4Nk/HeZIOIAsqebuw==" saltValue="8VVBFdEan3aLE2Okb9NcaA==" spinCount="100000" sheet="1" objects="1" scenarios="1"/>
  <protectedRanges>
    <protectedRange algorithmName="SHA-512" hashValue="HW+jLE+154B9KqWkeGAjoQGcbCLd25RHAZXlaIQX5MUmwwMbjrtqF8YUmDXNPVBooznIP9rmMBkXTeOfluMf7g==" saltValue="K3MEbatdHAsrcGXHTjqdlg==" spinCount="100000" sqref="D64:D117" name="Flugziele_Pat"/>
    <protectedRange sqref="D43:D52 D21 D40" name="Notfallkontakte"/>
    <protectedRange sqref="E21" name="Notfallkontakte_Anpassung"/>
  </protectedRanges>
  <mergeCells count="7">
    <mergeCell ref="A15:M15"/>
    <mergeCell ref="I135:K135"/>
    <mergeCell ref="B2:L2"/>
    <mergeCell ref="B3:L3"/>
    <mergeCell ref="B4:L6"/>
    <mergeCell ref="D8:D12"/>
    <mergeCell ref="H8:H12"/>
  </mergeCells>
  <dataValidations count="3">
    <dataValidation allowBlank="1" showInputMessage="1" sqref="H120 H20 H56 H131" xr:uid="{00000000-0002-0000-0300-000000000000}"/>
    <dataValidation type="list" allowBlank="1" showInputMessage="1" showErrorMessage="1" sqref="B43:C52 B57:C57 F57:G57" xr:uid="{00000000-0002-0000-0300-000001000000}">
      <formula1>PLZ_Gebiet_klug</formula1>
    </dataValidation>
    <dataValidation type="list" allowBlank="1" showInputMessage="1" showErrorMessage="1" sqref="D40" xr:uid="{00000000-0002-0000-0300-000002000000}">
      <formula1>$B$43:$B$52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F44:F52" calculatedColumn="1"/>
  </ignoredError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Anästhesiegase</vt:lpstr>
      <vt:lpstr>Geschäftsreisen 2021</vt:lpstr>
      <vt:lpstr>Mobilität Mitarbeitende 2021</vt:lpstr>
      <vt:lpstr>Mobilität Patientinnen 2021</vt:lpstr>
      <vt:lpstr>'Mobilität Patientinnen 2021'!Result_Scope3_P_Mobilität_Notfall_Helikoper</vt:lpstr>
      <vt:lpstr>Result_Scope3_P_Mobilität_Notfall_Helikoper</vt:lpstr>
      <vt:lpstr>'Mobilität Patientinnen 2021'!Result_Scope3_Patient_Regelkontakte_innerhalb_DE</vt:lpstr>
      <vt:lpstr>Result_Scope3_Patient_Regelkontakte_innerhalb_DE</vt:lpstr>
    </vt:vector>
  </TitlesOfParts>
  <Company>Universitätsklinikum Freiburg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Hilfsexcel KliMeG-Rechner zu Bilanzierung von Kliniken Version 1.1</dc:title>
  <dc:creator>leonard.terres@uniklinik-freiburg.de;bernd.franke@ifeu.de;claudia.quitmann@uni-heidelberg.de</dc:creator>
  <cp:lastModifiedBy>Claudia Quitmann</cp:lastModifiedBy>
  <dcterms:created xsi:type="dcterms:W3CDTF">2023-05-02T11:21:43Z</dcterms:created>
  <dcterms:modified xsi:type="dcterms:W3CDTF">2024-06-05T09:17:12Z</dcterms:modified>
</cp:coreProperties>
</file>