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showInkAnnotation="0" defaultThemeVersion="166925"/>
  <mc:AlternateContent xmlns:mc="http://schemas.openxmlformats.org/markup-compatibility/2006">
    <mc:Choice Requires="x15">
      <x15ac:absPath xmlns:x15ac="http://schemas.microsoft.com/office/spreadsheetml/2010/11/ac" url="/Users/emmareynolds/Desktop/HIGH /Seafile/.seafile-data/file-cache/f3bd183f-d5cb-4231-8602-2a2d5d525633/AP 4+5 - THG Rechner/KliMEG-Rechner/Version 3 - KliMeG Rechner/Finale Dokumente für KliMeG/"/>
    </mc:Choice>
  </mc:AlternateContent>
  <xr:revisionPtr revIDLastSave="0" documentId="8_{EA62A5D6-9BAA-4444-B5D1-A9CA64C699F4}" xr6:coauthVersionLast="47" xr6:coauthVersionMax="47" xr10:uidLastSave="{00000000-0000-0000-0000-000000000000}"/>
  <bookViews>
    <workbookView xWindow="32500" yWindow="1100" windowWidth="28800" windowHeight="16240" activeTab="3" xr2:uid="{00000000-000D-0000-FFFF-FFFF00000000}"/>
  </bookViews>
  <sheets>
    <sheet name="Anästhesiegase" sheetId="6" r:id="rId1"/>
    <sheet name="Geschäftsreisen 2023" sheetId="3" r:id="rId2"/>
    <sheet name="Mobilität Mitarbeitende 2023" sheetId="2" r:id="rId3"/>
    <sheet name="Mobilität Patientinnen 2023" sheetId="4" r:id="rId4"/>
  </sheets>
  <externalReferences>
    <externalReference r:id="rId5"/>
  </externalReferences>
  <definedNames>
    <definedName name="Anzahl_Mitarbeiterinnen">#REF!</definedName>
    <definedName name="Auswahl_PLZ_Gebiet">#REF!</definedName>
    <definedName name="Brutto_Nutzungsgrade_Biogas">#REF!</definedName>
    <definedName name="Brutto_Nutzungsgrade_Braunkohle">#REF!</definedName>
    <definedName name="Brutto_Nutzungsgrade_Erdgas">#REF!</definedName>
    <definedName name="Brutto_Nutzungsgrade_Flüssig_Biomasse">#REF!</definedName>
    <definedName name="Brutto_Nutzungsgrade_Holz">#REF!</definedName>
    <definedName name="Brutto_Nutzungsgrade_Öl">#REF!</definedName>
    <definedName name="Brutto_Nutzungsgrade_Steinkohle">#REF!</definedName>
    <definedName name="lol">[1]EF!$N$1:$N$10</definedName>
    <definedName name="Methan_IPCC_AR6">#REF!</definedName>
    <definedName name="N2O_IPCC_AR6">#REF!</definedName>
    <definedName name="Netto_BruttoStrom_Ratio_Biogas">#REF!</definedName>
    <definedName name="Netto_BruttoStrom_Ratio_Braunkohle">#REF!</definedName>
    <definedName name="Netto_BruttoStrom_Ratio_Erdgas">#REF!</definedName>
    <definedName name="Netto_BruttoStrom_Ratio_flüssig_Biomasse">#REF!</definedName>
    <definedName name="Netto_BruttoStrom_Ratio_Holz">#REF!</definedName>
    <definedName name="Netto_BruttoStrom_Ratio_Öl">#REF!</definedName>
    <definedName name="Netto_BruttoStrom_Ratio_Steinkohle">#REF!</definedName>
    <definedName name="PLZ_Gebiet">#REF!</definedName>
    <definedName name="PLZ_Gebiet_klug">#REF!</definedName>
    <definedName name="Result_Scope3_P_Mobilität_Notfall_Helikoper" localSheetId="3">'Mobilität Patientinnen 2023'!$G$552</definedName>
    <definedName name="Result_Scope3_P_Mobilität_Notfall_Helikoper">'Mobilität Mitarbeitende 2023'!$G$497</definedName>
    <definedName name="Result_Scope3_P_Mobilität_Notfall_K_RTW_PKW" localSheetId="3">#REF!</definedName>
    <definedName name="Result_Scope3_P_Mobilität_Notfall_K_RTW_PKW">#REF!</definedName>
    <definedName name="Result_Scope3_Patient_Regelkontakte_innerhalb_DE" localSheetId="3">'Mobilität Patientinnen 2023'!$G$598</definedName>
    <definedName name="Result_Scope3_Patient_Regelkontakte_innerhalb_DE">'Mobilität Mitarbeitende 2023'!$G$543</definedName>
    <definedName name="Result_Scope3_Patient_Regelkontakte_Non_DE" localSheetId="3">#REF!</definedName>
    <definedName name="Result_Scope3_Patient_Regelkontakte_Non_DE">#REF!</definedName>
    <definedName name="Result_Scope3_Patient_Verlegung" localSheetId="3">#REF!</definedName>
    <definedName name="Result_Scope3_Patient_Verleg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2" l="1"/>
  <c r="D72" i="2"/>
  <c r="D73" i="2"/>
  <c r="D121" i="4"/>
  <c r="G19" i="6" l="1"/>
  <c r="G32" i="6" l="1"/>
  <c r="F94" i="3" l="1"/>
  <c r="H94" i="3" s="1"/>
  <c r="F93" i="3" l="1"/>
  <c r="D96" i="3" l="1"/>
  <c r="D83" i="3"/>
  <c r="D84" i="3"/>
  <c r="D85" i="3"/>
  <c r="D86" i="3"/>
  <c r="F43" i="4"/>
  <c r="F21" i="4" l="1"/>
  <c r="D22" i="4" l="1"/>
  <c r="F49" i="4" l="1"/>
  <c r="G49" i="4" s="1"/>
  <c r="F51" i="4"/>
  <c r="G51" i="4" s="1"/>
  <c r="F48" i="4"/>
  <c r="G48" i="4" s="1"/>
  <c r="F47" i="4"/>
  <c r="G47" i="4" s="1"/>
  <c r="F46" i="4"/>
  <c r="G46" i="4" s="1"/>
  <c r="F44" i="4"/>
  <c r="G44" i="4" s="1"/>
  <c r="G43" i="4"/>
  <c r="F52" i="4"/>
  <c r="G52" i="4" s="1"/>
  <c r="F50" i="4"/>
  <c r="G50" i="4" s="1"/>
  <c r="F45" i="4" l="1"/>
  <c r="G45" i="4" s="1"/>
  <c r="D28" i="2"/>
  <c r="D122" i="4" l="1"/>
  <c r="F122" i="4" s="1"/>
  <c r="H122" i="4" s="1"/>
  <c r="D123" i="4"/>
  <c r="F123" i="4" s="1"/>
  <c r="H123" i="4" s="1"/>
  <c r="D124" i="4"/>
  <c r="F124" i="4" s="1"/>
  <c r="H124" i="4" s="1"/>
  <c r="D125" i="4"/>
  <c r="F125" i="4" s="1"/>
  <c r="H125" i="4" s="1"/>
  <c r="F121" i="4"/>
  <c r="H121" i="4" s="1"/>
  <c r="D53" i="4"/>
  <c r="E46" i="4" l="1"/>
  <c r="E47" i="4"/>
  <c r="H21" i="4"/>
  <c r="H22" i="4" s="1"/>
  <c r="H132" i="4" s="1"/>
  <c r="H126" i="4"/>
  <c r="H134" i="4" s="1"/>
  <c r="D126" i="4"/>
  <c r="E49" i="4"/>
  <c r="E48" i="4"/>
  <c r="E43" i="4"/>
  <c r="E45" i="4"/>
  <c r="E52" i="4"/>
  <c r="E44" i="4"/>
  <c r="E51" i="4"/>
  <c r="E50" i="4"/>
  <c r="G53" i="4"/>
  <c r="E28" i="2"/>
  <c r="E29" i="2" s="1"/>
  <c r="D48" i="2"/>
  <c r="G27" i="6"/>
  <c r="D82" i="3"/>
  <c r="D81" i="3"/>
  <c r="D111" i="3"/>
  <c r="H102" i="3"/>
  <c r="H103" i="3" s="1"/>
  <c r="H111" i="3" s="1"/>
  <c r="H185" i="3" s="1"/>
  <c r="D110" i="3"/>
  <c r="C56" i="2" l="1"/>
  <c r="C55" i="2"/>
  <c r="C54" i="2"/>
  <c r="C61" i="2"/>
  <c r="C57" i="2"/>
  <c r="C60" i="2"/>
  <c r="C59" i="2"/>
  <c r="C58" i="2"/>
  <c r="D87" i="3"/>
  <c r="D57" i="4"/>
  <c r="H57" i="4" s="1"/>
  <c r="H58" i="4" s="1"/>
  <c r="H133" i="4" s="1"/>
  <c r="H135" i="4" s="1"/>
  <c r="E53" i="4"/>
  <c r="F82" i="3"/>
  <c r="H82" i="3" s="1"/>
  <c r="F83" i="3"/>
  <c r="H83" i="3" s="1"/>
  <c r="F84" i="3"/>
  <c r="F85" i="3"/>
  <c r="H85" i="3" s="1"/>
  <c r="F86" i="3"/>
  <c r="H86" i="3" s="1"/>
  <c r="F59" i="2" l="1"/>
  <c r="E59" i="2"/>
  <c r="F60" i="2"/>
  <c r="E60" i="2"/>
  <c r="F61" i="2"/>
  <c r="E61" i="2"/>
  <c r="E56" i="2"/>
  <c r="F56" i="2"/>
  <c r="F58" i="2"/>
  <c r="E58" i="2"/>
  <c r="E57" i="2"/>
  <c r="F57" i="2"/>
  <c r="E54" i="2"/>
  <c r="F54" i="2"/>
  <c r="D55" i="2"/>
  <c r="E55" i="2"/>
  <c r="F55" i="2"/>
  <c r="D54" i="2"/>
  <c r="H58" i="2"/>
  <c r="G58" i="2"/>
  <c r="D58" i="2"/>
  <c r="G59" i="2"/>
  <c r="D59" i="2"/>
  <c r="H59" i="2"/>
  <c r="F81" i="3"/>
  <c r="H81" i="3" s="1"/>
  <c r="D109" i="3"/>
  <c r="H84" i="3"/>
  <c r="F87" i="3" l="1"/>
  <c r="H87" i="3"/>
  <c r="H109" i="3" s="1"/>
  <c r="H183" i="3" s="1"/>
  <c r="F95" i="3"/>
  <c r="H95" i="3" s="1"/>
  <c r="H93"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21" i="3"/>
  <c r="H175" i="3" l="1"/>
  <c r="H186" i="3" s="1"/>
  <c r="F96" i="3"/>
  <c r="H96" i="3" l="1"/>
  <c r="H110" i="3" s="1"/>
  <c r="G33" i="6"/>
  <c r="G31" i="6"/>
  <c r="G30" i="6"/>
  <c r="G29" i="6"/>
  <c r="G28" i="6"/>
  <c r="G26" i="6"/>
  <c r="G25" i="6"/>
  <c r="G24" i="6"/>
  <c r="G23" i="6"/>
  <c r="H112" i="3" l="1"/>
  <c r="H184" i="3"/>
  <c r="H187" i="3" s="1"/>
  <c r="D61" i="2" l="1"/>
  <c r="H55" i="2"/>
  <c r="H61" i="2" l="1"/>
  <c r="G61" i="2"/>
  <c r="G55" i="2"/>
  <c r="H56" i="2"/>
  <c r="G56" i="2"/>
  <c r="D56" i="2"/>
  <c r="H60" i="2"/>
  <c r="D60" i="2"/>
  <c r="G60" i="2"/>
  <c r="C62" i="2"/>
  <c r="C63" i="2" s="1"/>
  <c r="H54" i="2"/>
  <c r="G54" i="2"/>
  <c r="H57" i="2"/>
  <c r="D57" i="2"/>
  <c r="G57" i="2"/>
  <c r="D62" i="2" l="1"/>
  <c r="D63" i="2" s="1"/>
  <c r="F62" i="2"/>
  <c r="E62" i="2"/>
  <c r="E63" i="2" s="1"/>
  <c r="G62" i="2"/>
  <c r="F74" i="2" l="1"/>
  <c r="G63" i="2"/>
  <c r="F72" i="2"/>
  <c r="F63" i="2"/>
  <c r="H62" i="2"/>
  <c r="H63" i="2" l="1"/>
  <c r="F73" i="2"/>
  <c r="F75" i="2" s="1"/>
  <c r="D75" i="2"/>
  <c r="E96" i="3"/>
  <c r="B61" i="2" l="1"/>
  <c r="B60" i="2"/>
  <c r="B57" i="2"/>
  <c r="B56" i="2"/>
  <c r="B55" i="2"/>
  <c r="B54" i="2"/>
  <c r="G21" i="6" l="1"/>
  <c r="G20" i="6"/>
  <c r="G34" i="6" l="1"/>
</calcChain>
</file>

<file path=xl/sharedStrings.xml><?xml version="1.0" encoding="utf-8"?>
<sst xmlns="http://schemas.openxmlformats.org/spreadsheetml/2006/main" count="686" uniqueCount="297">
  <si>
    <t>Summe</t>
  </si>
  <si>
    <t>Schritt 1 bis Schritt 3 (siehe unten) zeigen eine Möglichkeit zur Berechnung der GHG-Emissionen aus der Mitarbeitendenmobilität.</t>
  </si>
  <si>
    <t>Sie können aber auch direkt mit Schritt 3 anfangen, indem Sie die Entfernung nach verschiedenen Verkehrsmitteln in die gelb markierten Bereiche der Tabelle zu Schritt 3 eingeben.</t>
  </si>
  <si>
    <t>Entfernung Wohnort</t>
  </si>
  <si>
    <t>Mitarbeitendenmobilität</t>
  </si>
  <si>
    <t xml:space="preserve">Angenomme Entfernung 
(One-way) </t>
  </si>
  <si>
    <t>Zufußgehen %</t>
  </si>
  <si>
    <t>Fahrrad %</t>
  </si>
  <si>
    <t>E-Bike %</t>
  </si>
  <si>
    <t>ÖPNV %</t>
  </si>
  <si>
    <t>Weniger als 5 km</t>
  </si>
  <si>
    <t>5 - 9 Kilometer</t>
  </si>
  <si>
    <t>10 - 19 Kilometer</t>
  </si>
  <si>
    <t>Arbeitstage im Jahr</t>
  </si>
  <si>
    <t>Gewichtete Arbeitstage im Jahr</t>
  </si>
  <si>
    <t>Zufußgehen (km)</t>
  </si>
  <si>
    <t>E-Bike (km)</t>
  </si>
  <si>
    <t>ÖPNV (km)</t>
  </si>
  <si>
    <t>Anteil</t>
  </si>
  <si>
    <t>Hinweis:   </t>
  </si>
  <si>
    <t>Falls Sie die Daten anhand von Schritt 1 und Schritt 2 ermittelt haben, wurden die Daten für E-Bikes, Pkw, und ÖPNV automatisch in folgende Tabelle übernommen.</t>
  </si>
  <si>
    <t>E-Bike</t>
  </si>
  <si>
    <t>Pkw</t>
  </si>
  <si>
    <t>ÖPNV, allgemein</t>
  </si>
  <si>
    <t>Summe (Mitarbeitendenmobilität)</t>
  </si>
  <si>
    <t>Helikopter</t>
  </si>
  <si>
    <t>PKW</t>
  </si>
  <si>
    <t>Verkehrsmittel</t>
  </si>
  <si>
    <t>Quelle</t>
  </si>
  <si>
    <t>Afrika</t>
  </si>
  <si>
    <t>Amerika</t>
  </si>
  <si>
    <t>Asien</t>
  </si>
  <si>
    <t>Europa</t>
  </si>
  <si>
    <t>Ozeanien</t>
  </si>
  <si>
    <t>Postleitzahlbereich</t>
  </si>
  <si>
    <t>Gebiet 0</t>
  </si>
  <si>
    <t>Gebiet 1</t>
  </si>
  <si>
    <t>Gebiet 2</t>
  </si>
  <si>
    <t>Gebiet 3</t>
  </si>
  <si>
    <t>Gebiet 4</t>
  </si>
  <si>
    <t>Gebiet 5</t>
  </si>
  <si>
    <t>Gebiet 6</t>
  </si>
  <si>
    <t>Gebiet 7</t>
  </si>
  <si>
    <t>Gebiet 8</t>
  </si>
  <si>
    <t>Gebiet 9</t>
  </si>
  <si>
    <t>Flugreisen</t>
  </si>
  <si>
    <t>Hin- &amp; Rückfahrt (km / Jahr)</t>
  </si>
  <si>
    <t>Summe (Flugreisen)</t>
  </si>
  <si>
    <t>Landreisen</t>
  </si>
  <si>
    <t>Bahnreisen, Fernverkehr</t>
  </si>
  <si>
    <t>Argentinien</t>
  </si>
  <si>
    <t>Armenien</t>
  </si>
  <si>
    <t>Australien</t>
  </si>
  <si>
    <t>Bangladesch</t>
  </si>
  <si>
    <t>Belgien</t>
  </si>
  <si>
    <t>Brasilien</t>
  </si>
  <si>
    <t>China</t>
  </si>
  <si>
    <t>Costa Rica</t>
  </si>
  <si>
    <t>Dänemark</t>
  </si>
  <si>
    <t>Deutschland</t>
  </si>
  <si>
    <t>Finnland</t>
  </si>
  <si>
    <t>Frankreich</t>
  </si>
  <si>
    <t>Griechenland</t>
  </si>
  <si>
    <t>Indien</t>
  </si>
  <si>
    <t>Irland</t>
  </si>
  <si>
    <t>Israel</t>
  </si>
  <si>
    <t>Italien</t>
  </si>
  <si>
    <t>Japan</t>
  </si>
  <si>
    <t>Kanada</t>
  </si>
  <si>
    <t>Kirgisistan</t>
  </si>
  <si>
    <t>Kolumbien</t>
  </si>
  <si>
    <t>Lettland</t>
  </si>
  <si>
    <t>Luxemburg</t>
  </si>
  <si>
    <t>Malawi</t>
  </si>
  <si>
    <t>Malaysia</t>
  </si>
  <si>
    <t>Myanmar</t>
  </si>
  <si>
    <t>Namibia</t>
  </si>
  <si>
    <t>Neuseeland</t>
  </si>
  <si>
    <t>Niederlande</t>
  </si>
  <si>
    <t>Norwegen</t>
  </si>
  <si>
    <t>Österreich</t>
  </si>
  <si>
    <t>Peru</t>
  </si>
  <si>
    <t>Polen</t>
  </si>
  <si>
    <t>Portugal</t>
  </si>
  <si>
    <t>Republik Korea</t>
  </si>
  <si>
    <t>Rumänien</t>
  </si>
  <si>
    <t>Russische Föderation</t>
  </si>
  <si>
    <t>Schweden</t>
  </si>
  <si>
    <t>Schweiz</t>
  </si>
  <si>
    <t>Serbien</t>
  </si>
  <si>
    <t>Singapur</t>
  </si>
  <si>
    <t>Slowakei</t>
  </si>
  <si>
    <t>Slowenien</t>
  </si>
  <si>
    <t>Spanien</t>
  </si>
  <si>
    <t>Südafrika</t>
  </si>
  <si>
    <t>Taiwan</t>
  </si>
  <si>
    <t>Thailand</t>
  </si>
  <si>
    <t>Tschechien</t>
  </si>
  <si>
    <t>Türkei</t>
  </si>
  <si>
    <t>Ungarn</t>
  </si>
  <si>
    <t>Vereinigte Arabische Emirate</t>
  </si>
  <si>
    <t>USA</t>
  </si>
  <si>
    <t>Vereinigtes Königreich</t>
  </si>
  <si>
    <t>Pkw (außerhalb des eigenen Fuhrparks)</t>
  </si>
  <si>
    <t>Anzahl der Übernachtungen</t>
  </si>
  <si>
    <t xml:space="preserve">Es wird eine beschränkte Auswahl von Ländern dargestellt. </t>
  </si>
  <si>
    <t>Aufteilung in (%) der Mitarbeiter*innen</t>
  </si>
  <si>
    <t>Pkw %</t>
  </si>
  <si>
    <t>Pkw (km)</t>
  </si>
  <si>
    <t>Übernachtungen</t>
  </si>
  <si>
    <t xml:space="preserve">Anzahl der Mitarbeitenden: </t>
  </si>
  <si>
    <t>Geleistete Arbeitstage pro Jahr</t>
  </si>
  <si>
    <t>PLZ-Bereich</t>
  </si>
  <si>
    <t>Anteil der Mitarbeiter*innen</t>
  </si>
  <si>
    <t>Hier Daten eingeben:</t>
  </si>
  <si>
    <t>Ergebnisdarstellung</t>
  </si>
  <si>
    <t>↓</t>
  </si>
  <si>
    <t>Gebindeinformationen</t>
  </si>
  <si>
    <t>Produktbezeichnung</t>
  </si>
  <si>
    <t>Verbrauch am Klinikum</t>
  </si>
  <si>
    <t>Anzahl (bitte eingeben)</t>
  </si>
  <si>
    <t>Lachgas</t>
  </si>
  <si>
    <r>
      <t xml:space="preserve">Volumen </t>
    </r>
    <r>
      <rPr>
        <b/>
        <sz val="10"/>
        <color theme="0"/>
        <rFont val="Arial"/>
        <family val="2"/>
      </rPr>
      <t>(l)</t>
    </r>
  </si>
  <si>
    <t>Summe:</t>
  </si>
  <si>
    <t xml:space="preserve"> Lachgas (N2O, Distickstoffmonoxid)</t>
  </si>
  <si>
    <t>=&gt; Summe (kg) in Ecocockpit eingeben</t>
  </si>
  <si>
    <t>Alternativ können Sie die Daten auch anhand Ihrer eigenen Ermittlungsmethode direkt in die hellgrün markierten Bereiche eintragen.</t>
  </si>
  <si>
    <t>Posten</t>
  </si>
  <si>
    <t>-</t>
  </si>
  <si>
    <t>km</t>
  </si>
  <si>
    <t>Verbrauchsberechnung</t>
  </si>
  <si>
    <t>Ergebnis</t>
  </si>
  <si>
    <t>Ergebnis:</t>
  </si>
  <si>
    <t>Anzahl Flüge</t>
  </si>
  <si>
    <t>Annahme Entfernung 
(km / Jahr)</t>
  </si>
  <si>
    <r>
      <t xml:space="preserve">Das Register </t>
    </r>
    <r>
      <rPr>
        <b/>
        <sz val="10"/>
        <color theme="1"/>
        <rFont val="Arial"/>
        <family val="2"/>
      </rPr>
      <t>Geschäftsreisen</t>
    </r>
    <r>
      <rPr>
        <sz val="10"/>
        <color theme="1"/>
        <rFont val="Arial"/>
        <family val="2"/>
      </rPr>
      <t xml:space="preserve"> ist folgendermaßen zu verwenden:</t>
    </r>
  </si>
  <si>
    <t>Distanz FRA --&gt; USA ca. 8.000 km</t>
  </si>
  <si>
    <t>Distanz FRA --&gt; Südafrika ca. 14.000 km</t>
  </si>
  <si>
    <t>Distanz FRA --&gt; Irland ca. 1.500 km</t>
  </si>
  <si>
    <t>Distanz München --&gt; Hamburg ca. 800 km</t>
  </si>
  <si>
    <t>Distanz FRA --&gt; China ca. 10.000 km</t>
  </si>
  <si>
    <t>Annahmen zu Entfernungen</t>
  </si>
  <si>
    <t>Distanz FRA --&gt; Sydney ca. 17.000 km</t>
  </si>
  <si>
    <t>Montenegro</t>
  </si>
  <si>
    <t>Vereinigte Staaten</t>
  </si>
  <si>
    <t>Land</t>
  </si>
  <si>
    <t>Internationale Flüge</t>
  </si>
  <si>
    <t>Nationale Flüge</t>
  </si>
  <si>
    <t>Zielland</t>
  </si>
  <si>
    <t>Anzahl</t>
  </si>
  <si>
    <t>Kroatien</t>
  </si>
  <si>
    <t>Region (Zuordnung)</t>
  </si>
  <si>
    <t>CAFOGES</t>
  </si>
  <si>
    <t>Anzahl Reisen</t>
  </si>
  <si>
    <t>Typ</t>
  </si>
  <si>
    <t>Fernverkehr</t>
  </si>
  <si>
    <t>Privat-PWK</t>
  </si>
  <si>
    <t>Gefahrene Kilometer</t>
  </si>
  <si>
    <t>Summe (Privat-PWK)</t>
  </si>
  <si>
    <t>Summe (Bahnreisen)</t>
  </si>
  <si>
    <t>Bahnreisen</t>
  </si>
  <si>
    <t>Einheit</t>
  </si>
  <si>
    <t>Flüge</t>
  </si>
  <si>
    <t>Beschreibung</t>
  </si>
  <si>
    <t>(Sonstige)</t>
  </si>
  <si>
    <t>Bei Bedarf Summe der Flüge eingeben</t>
  </si>
  <si>
    <t>--</t>
  </si>
  <si>
    <t>---</t>
  </si>
  <si>
    <t>Quelle: CAFOGES</t>
  </si>
  <si>
    <t>Hinweis zur Eingabe in ecocockpit</t>
  </si>
  <si>
    <r>
      <t xml:space="preserve">Das Register </t>
    </r>
    <r>
      <rPr>
        <b/>
        <sz val="10"/>
        <color theme="1"/>
        <rFont val="Arial"/>
        <family val="2"/>
      </rPr>
      <t>Mobilität Mitarbeitende</t>
    </r>
    <r>
      <rPr>
        <sz val="10"/>
        <color theme="1"/>
        <rFont val="Arial"/>
        <family val="2"/>
      </rPr>
      <t xml:space="preserve"> ist folgendermaßen zu verwenden:</t>
    </r>
  </si>
  <si>
    <t>Arbeitstage/Woche</t>
  </si>
  <si>
    <t>&lt;5 Tage/Woche</t>
  </si>
  <si>
    <t>=5 Tage/Woche</t>
  </si>
  <si>
    <t>Vorlagenformat</t>
  </si>
  <si>
    <t>Beispiel: (ggf. bei Möglichkeit für Ihr Klinikum anpassen)</t>
  </si>
  <si>
    <r>
      <t xml:space="preserve">Angegeben wird die </t>
    </r>
    <r>
      <rPr>
        <b/>
        <sz val="10"/>
        <color theme="1"/>
        <rFont val="Arial"/>
        <family val="2"/>
      </rPr>
      <t>durchschnittliche Entfernung zum Arbeitsplatz</t>
    </r>
    <r>
      <rPr>
        <sz val="10"/>
        <color theme="1"/>
        <rFont val="Arial"/>
        <family val="2"/>
      </rPr>
      <t xml:space="preserve"> innerhalb der Gruppe und die Aufteilung in die verschiedenen Verkehrsmittel.</t>
    </r>
  </si>
  <si>
    <t>Nutzung Verkehrsmittel</t>
  </si>
  <si>
    <t>Aufteilung nach Entfernung zum Arbeitsplatz</t>
  </si>
  <si>
    <t>Mobilität Patient*innen</t>
  </si>
  <si>
    <r>
      <t xml:space="preserve">Das Register </t>
    </r>
    <r>
      <rPr>
        <b/>
        <sz val="10"/>
        <color theme="1"/>
        <rFont val="Arial"/>
        <family val="2"/>
      </rPr>
      <t>Mobilität Patient*innen</t>
    </r>
    <r>
      <rPr>
        <sz val="10"/>
        <color theme="1"/>
        <rFont val="Arial"/>
        <family val="2"/>
      </rPr>
      <t xml:space="preserve"> ist folgendermaßen zu verwenden:</t>
    </r>
  </si>
  <si>
    <t>=&gt; hier sollten 100% stehen!</t>
  </si>
  <si>
    <t>Anzahl (Notfallpatienten)</t>
  </si>
  <si>
    <t>Modellierung auf Basis CAFOGES</t>
  </si>
  <si>
    <t>Flugzeugtyp</t>
  </si>
  <si>
    <t>Erläuterung Flugzeugtyp</t>
  </si>
  <si>
    <t>Annahmen zu Entfernungen und Verbräuchen</t>
  </si>
  <si>
    <t>PLZ-Bereich: Zentrale Stadt</t>
  </si>
  <si>
    <t>Dresden</t>
  </si>
  <si>
    <t>Berlin</t>
  </si>
  <si>
    <t>Hamburg</t>
  </si>
  <si>
    <t>Göttingen</t>
  </si>
  <si>
    <t>Essen</t>
  </si>
  <si>
    <t>Bonn</t>
  </si>
  <si>
    <t>Mannheim</t>
  </si>
  <si>
    <t>Stuttgart</t>
  </si>
  <si>
    <t>München</t>
  </si>
  <si>
    <t>Nürnberg</t>
  </si>
  <si>
    <t>Herkundskontinent</t>
  </si>
  <si>
    <t>Auswahl PLZ-Gebiet Klinik</t>
  </si>
  <si>
    <r>
      <t xml:space="preserve">(z.B. </t>
    </r>
    <r>
      <rPr>
        <b/>
        <sz val="10"/>
        <color theme="1"/>
        <rFont val="Arial"/>
        <family val="2"/>
      </rPr>
      <t>Gebiet 7</t>
    </r>
    <r>
      <rPr>
        <sz val="10"/>
        <color theme="1"/>
        <rFont val="Arial"/>
        <family val="2"/>
      </rPr>
      <t xml:space="preserve"> für eine Klinik in 79110 Freiburg)</t>
    </r>
  </si>
  <si>
    <t>Anteil [%]</t>
  </si>
  <si>
    <t>Distanzen Regelkontakte [km]</t>
  </si>
  <si>
    <t>Angenommene Entfernung 
One-way [km]</t>
  </si>
  <si>
    <t>Annahme Entfernung One-Way [km]</t>
  </si>
  <si>
    <t>z.B. EC135, EC145 (DRF, REGA, …)</t>
  </si>
  <si>
    <t>Land (Wohnsitz)</t>
  </si>
  <si>
    <t>Zusatzinfo</t>
  </si>
  <si>
    <t>Passwort zum Aufheben des Schreibschutz: klug</t>
  </si>
  <si>
    <t>Bereich</t>
  </si>
  <si>
    <t>Luftgebunden</t>
  </si>
  <si>
    <t>Inland</t>
  </si>
  <si>
    <t>Ausland</t>
  </si>
  <si>
    <t>----</t>
  </si>
  <si>
    <r>
      <t xml:space="preserve">Passwort zum Aufheben des Schreibschutz: </t>
    </r>
    <r>
      <rPr>
        <sz val="10"/>
        <rFont val="Arial"/>
        <family val="2"/>
      </rPr>
      <t>klug</t>
    </r>
  </si>
  <si>
    <r>
      <t xml:space="preserve">Schritt 4: </t>
    </r>
    <r>
      <rPr>
        <sz val="10"/>
        <rFont val="Arial"/>
        <family val="2"/>
      </rPr>
      <t>Geben Sie in der entsprechenden Spalte die Anzahl der</t>
    </r>
    <r>
      <rPr>
        <b/>
        <sz val="10"/>
        <rFont val="Arial"/>
        <family val="2"/>
      </rPr>
      <t xml:space="preserve"> gefahrenen Kilometer mit Privat-PWK ein (außerhalb des Klinikfuhrparks)</t>
    </r>
  </si>
  <si>
    <r>
      <t xml:space="preserve">Schritt 3: </t>
    </r>
    <r>
      <rPr>
        <sz val="10"/>
        <rFont val="Arial"/>
        <family val="2"/>
      </rPr>
      <t>Geben Sie in der entsprechenden Spalte die</t>
    </r>
    <r>
      <rPr>
        <b/>
        <sz val="10"/>
        <rFont val="Arial"/>
        <family val="2"/>
      </rPr>
      <t xml:space="preserve"> Anzahl der Bahnreisen ein</t>
    </r>
  </si>
  <si>
    <r>
      <rPr>
        <b/>
        <sz val="10"/>
        <rFont val="Arial"/>
        <family val="2"/>
      </rPr>
      <t xml:space="preserve">Schritt 1: </t>
    </r>
    <r>
      <rPr>
        <sz val="10"/>
        <rFont val="Arial"/>
        <family val="2"/>
      </rPr>
      <t xml:space="preserve">Geben Sie in der entsprechenden Spalte die </t>
    </r>
    <r>
      <rPr>
        <b/>
        <sz val="10"/>
        <rFont val="Arial"/>
        <family val="2"/>
      </rPr>
      <t>Anzahl der Flüge in das Zielland</t>
    </r>
    <r>
      <rPr>
        <sz val="10"/>
        <rFont val="Arial"/>
        <family val="2"/>
      </rPr>
      <t xml:space="preserve"> ein</t>
    </r>
  </si>
  <si>
    <t>Privat-PKW</t>
  </si>
  <si>
    <t>Hotelübernachtungen</t>
  </si>
  <si>
    <t>Geschäftsreisen - Ergebnisse in ecocockpit übertragen</t>
  </si>
  <si>
    <r>
      <rPr>
        <b/>
        <sz val="10"/>
        <rFont val="Arial"/>
        <family val="2"/>
      </rPr>
      <t>Schritt 1:</t>
    </r>
    <r>
      <rPr>
        <sz val="10"/>
        <rFont val="Arial"/>
        <family val="2"/>
      </rPr>
      <t xml:space="preserve"> Geben Sie hier die Daten zu </t>
    </r>
    <r>
      <rPr>
        <b/>
        <sz val="10"/>
        <rFont val="Arial"/>
        <family val="2"/>
      </rPr>
      <t>luftgebundenen Patientenkontakten</t>
    </r>
    <r>
      <rPr>
        <sz val="10"/>
        <rFont val="Arial"/>
        <family val="2"/>
      </rPr>
      <t xml:space="preserve"> ein (via </t>
    </r>
    <r>
      <rPr>
        <b/>
        <sz val="10"/>
        <rFont val="Arial"/>
        <family val="2"/>
      </rPr>
      <t>Flugbuch</t>
    </r>
    <r>
      <rPr>
        <sz val="10"/>
        <rFont val="Arial"/>
        <family val="2"/>
      </rPr>
      <t xml:space="preserve"> Ihres Helikopterlandeplatz)</t>
    </r>
  </si>
  <si>
    <t>Fachinformation und Berechnungen des Herstellers</t>
  </si>
  <si>
    <r>
      <t>Ergebnis 
(kg CO</t>
    </r>
    <r>
      <rPr>
        <b/>
        <vertAlign val="subscript"/>
        <sz val="10"/>
        <color theme="0"/>
        <rFont val="Arial"/>
        <family val="2"/>
      </rPr>
      <t>2</t>
    </r>
    <r>
      <rPr>
        <b/>
        <sz val="10"/>
        <color theme="0"/>
        <rFont val="Arial"/>
        <family val="2"/>
      </rPr>
      <t>e / Jahr)</t>
    </r>
  </si>
  <si>
    <r>
      <t>Ergebnis 
[kg CO</t>
    </r>
    <r>
      <rPr>
        <b/>
        <vertAlign val="subscript"/>
        <sz val="10"/>
        <color theme="0"/>
        <rFont val="Arial"/>
        <family val="2"/>
      </rPr>
      <t>2</t>
    </r>
    <r>
      <rPr>
        <b/>
        <sz val="10"/>
        <color theme="0"/>
        <rFont val="Arial"/>
        <family val="2"/>
      </rPr>
      <t>e / Jahr]</t>
    </r>
  </si>
  <si>
    <r>
      <t>Emissionsfaktor 
[kg CO</t>
    </r>
    <r>
      <rPr>
        <b/>
        <vertAlign val="subscript"/>
        <sz val="10"/>
        <color theme="0"/>
        <rFont val="Arial"/>
        <family val="2"/>
      </rPr>
      <t>2</t>
    </r>
    <r>
      <rPr>
        <b/>
        <sz val="10"/>
        <color theme="0"/>
        <rFont val="Arial"/>
        <family val="2"/>
      </rPr>
      <t>e / Pkm]</t>
    </r>
  </si>
  <si>
    <t>THG-Emissionen durch Patient*innen-Mobilität (gesamt)</t>
  </si>
  <si>
    <r>
      <rPr>
        <b/>
        <sz val="10"/>
        <rFont val="Arial"/>
        <family val="2"/>
      </rPr>
      <t>Schritt 4:</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Patient*innen-Mobilität</t>
    </r>
    <r>
      <rPr>
        <sz val="10"/>
        <rFont val="Arial"/>
        <family val="2"/>
      </rPr>
      <t>) in ecocockpit</t>
    </r>
  </si>
  <si>
    <t>Berechnungen der THG-Emissionen durch Flüge von Patient*innen mit Wohnsitz außerhalb Deutschlands</t>
  </si>
  <si>
    <r>
      <t>Emissionsfaktor PKW
[kg CO</t>
    </r>
    <r>
      <rPr>
        <b/>
        <vertAlign val="subscript"/>
        <sz val="10"/>
        <color theme="0"/>
        <rFont val="Arial"/>
        <family val="2"/>
      </rPr>
      <t>2</t>
    </r>
    <r>
      <rPr>
        <b/>
        <sz val="10"/>
        <color theme="0"/>
        <rFont val="Arial"/>
        <family val="2"/>
      </rPr>
      <t>e / km]</t>
    </r>
  </si>
  <si>
    <r>
      <t xml:space="preserve">Schritt 4: </t>
    </r>
    <r>
      <rPr>
        <sz val="10"/>
        <color theme="1"/>
        <rFont val="Arial"/>
        <family val="2"/>
      </rPr>
      <t>Berechnung der THG-Emissionen</t>
    </r>
  </si>
  <si>
    <t>Gesamte Entfernung 
(Hin-&amp; Zurück): Pkm / Jahr</t>
  </si>
  <si>
    <r>
      <t>Emissionsfaktor 
(kg CO</t>
    </r>
    <r>
      <rPr>
        <b/>
        <vertAlign val="subscript"/>
        <sz val="10"/>
        <color theme="0"/>
        <rFont val="Arial"/>
        <family val="2"/>
      </rPr>
      <t>2</t>
    </r>
    <r>
      <rPr>
        <b/>
        <sz val="10"/>
        <color theme="0"/>
        <rFont val="Arial"/>
        <family val="2"/>
      </rPr>
      <t>e / Pkm )</t>
    </r>
  </si>
  <si>
    <t>Pkm / Jahr</t>
  </si>
  <si>
    <r>
      <rPr>
        <b/>
        <sz val="10"/>
        <color theme="1"/>
        <rFont val="Arial"/>
        <family val="2"/>
      </rPr>
      <t>Schritt 3:</t>
    </r>
    <r>
      <rPr>
        <sz val="10"/>
        <color theme="1"/>
        <rFont val="Arial"/>
        <family val="2"/>
      </rPr>
      <t xml:space="preserve"> Automatische Berechnung der Personen-km (Pkm) pro Jahr nach Verkehrsmittel.</t>
    </r>
  </si>
  <si>
    <r>
      <rPr>
        <b/>
        <sz val="10"/>
        <rFont val="Arial"/>
        <family val="2"/>
      </rPr>
      <t>Schritt 6:</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Geschäftsreisen</t>
    </r>
    <r>
      <rPr>
        <sz val="10"/>
        <rFont val="Arial"/>
        <family val="2"/>
      </rPr>
      <t>) in ecocockpit</t>
    </r>
  </si>
  <si>
    <t>THG-Emissionen durch Geschäftsreisen (gesamt)</t>
  </si>
  <si>
    <r>
      <t>Emissionsfaktor 
(kg CO</t>
    </r>
    <r>
      <rPr>
        <b/>
        <vertAlign val="subscript"/>
        <sz val="10"/>
        <color theme="0"/>
        <rFont val="Arial"/>
        <family val="2"/>
      </rPr>
      <t>2</t>
    </r>
    <r>
      <rPr>
        <b/>
        <sz val="10"/>
        <color theme="0"/>
        <rFont val="Arial"/>
        <family val="2"/>
      </rPr>
      <t>e / Nacht)</t>
    </r>
  </si>
  <si>
    <r>
      <t>Emissionsfaktor 
(kg CO</t>
    </r>
    <r>
      <rPr>
        <b/>
        <vertAlign val="subscript"/>
        <sz val="10"/>
        <color theme="0"/>
        <rFont val="Arial"/>
        <family val="2"/>
      </rPr>
      <t>2</t>
    </r>
    <r>
      <rPr>
        <b/>
        <sz val="10"/>
        <color theme="0"/>
        <rFont val="Arial"/>
        <family val="2"/>
      </rPr>
      <t xml:space="preserve">e / Pkm) </t>
    </r>
  </si>
  <si>
    <r>
      <t xml:space="preserve">Schritt 2: </t>
    </r>
    <r>
      <rPr>
        <sz val="10"/>
        <rFont val="Arial"/>
        <family val="2"/>
      </rPr>
      <t>Die Rechnung zu Distanzen und THG-Emissionen erfolgt automatisiert</t>
    </r>
  </si>
  <si>
    <r>
      <rPr>
        <b/>
        <sz val="10"/>
        <rFont val="Arial"/>
        <family val="2"/>
      </rPr>
      <t xml:space="preserve">Schritt 1: </t>
    </r>
    <r>
      <rPr>
        <sz val="10"/>
        <rFont val="Arial"/>
        <family val="2"/>
      </rPr>
      <t>Geben Sie die Anzahl der Mitarbeiter*innen und den Beschäftigungsgrad (5 Tage/Woche oder &lt;5 Tage/Woche) ein</t>
    </r>
  </si>
  <si>
    <r>
      <rPr>
        <b/>
        <sz val="10"/>
        <rFont val="Arial"/>
        <family val="2"/>
      </rPr>
      <t xml:space="preserve">Schritt 2: </t>
    </r>
    <r>
      <rPr>
        <sz val="10"/>
        <rFont val="Arial"/>
        <family val="2"/>
      </rPr>
      <t>Die Mitarbeiter*innen werden je nach Distanz zwischen Wohnort und Arbeitsplatz in 7 Cluster eingeteilt</t>
    </r>
  </si>
  <si>
    <t>Hin- &amp; Rückflug (km / Jahr)</t>
  </si>
  <si>
    <t>Annahme Mittelwert nationaler Bahnreisen</t>
  </si>
  <si>
    <t>Annahme Mittelwert regionaler Bahnreisen</t>
  </si>
  <si>
    <t>Gesamte Distanz 
[Pkm / Jahr]</t>
  </si>
  <si>
    <t>Gesamtdistanzen Regelkontakte [Pkm]</t>
  </si>
  <si>
    <t>Annahmen zu Entfernungen (CAFOGES)</t>
  </si>
  <si>
    <t>ifeu 2024</t>
  </si>
  <si>
    <t>Anzahl der Besuche (ambulant &amp; stationär durch Patient:innen)</t>
  </si>
  <si>
    <t>Bahnreisen, Regionalverkehr</t>
  </si>
  <si>
    <t>Bahnreisen, ÖPNV</t>
  </si>
  <si>
    <t>Regionalverkehr</t>
  </si>
  <si>
    <t>Annahme Mittelwert ÖPNV-Reisen</t>
  </si>
  <si>
    <t>ÖPNV</t>
  </si>
  <si>
    <t>Annahme Entfernung pro Einsatz (= pro Patient:in) [km]</t>
  </si>
  <si>
    <t>5 x 120</t>
  </si>
  <si>
    <r>
      <rPr>
        <b/>
        <sz val="10"/>
        <color theme="1"/>
        <rFont val="Arial"/>
        <family val="2"/>
      </rPr>
      <t>50% N2O / 50% O2</t>
    </r>
    <r>
      <rPr>
        <sz val="10"/>
        <color theme="1"/>
        <rFont val="Arial"/>
        <family val="2"/>
      </rPr>
      <t xml:space="preserve"> (z.B. LIVOPAN® Linde)</t>
    </r>
  </si>
  <si>
    <t xml:space="preserve">100% N2O </t>
  </si>
  <si>
    <t xml:space="preserve">50% N2O / 50% O2 </t>
  </si>
  <si>
    <t>100% N2O</t>
  </si>
  <si>
    <t xml:space="preserve">Fachinformation, Vertriebsseiten, Herstellerseiten </t>
  </si>
  <si>
    <t>12 x 50</t>
  </si>
  <si>
    <r>
      <t xml:space="preserve">Masse N2O </t>
    </r>
    <r>
      <rPr>
        <b/>
        <sz val="10"/>
        <color theme="0"/>
        <rFont val="Arial"/>
        <family val="2"/>
      </rPr>
      <t>(kg)</t>
    </r>
    <r>
      <rPr>
        <sz val="10"/>
        <color theme="0"/>
        <rFont val="Arial"/>
        <family val="2"/>
      </rPr>
      <t xml:space="preserve"> 
per bottle</t>
    </r>
  </si>
  <si>
    <r>
      <t>Insgesamt (</t>
    </r>
    <r>
      <rPr>
        <b/>
        <sz val="10"/>
        <color theme="0"/>
        <rFont val="Arial"/>
        <family val="2"/>
      </rPr>
      <t>kg N2O</t>
    </r>
    <r>
      <rPr>
        <sz val="10"/>
        <color theme="0"/>
        <rFont val="Arial"/>
        <family val="2"/>
      </rPr>
      <t>)</t>
    </r>
  </si>
  <si>
    <r>
      <rPr>
        <b/>
        <sz val="10"/>
        <color theme="1"/>
        <rFont val="Arial"/>
        <family val="2"/>
      </rPr>
      <t>100% N2O</t>
    </r>
    <r>
      <rPr>
        <sz val="10"/>
        <color theme="1"/>
        <rFont val="Arial"/>
        <family val="2"/>
      </rPr>
      <t xml:space="preserve"> (z.B. NIONTIX® 100% (Linde), Distickstoffmonoxid Messer 100%, N2O Stickoxydul med. (SW-Steinfurt), N2O-medica (SW-Friedrichshafen))</t>
    </r>
  </si>
  <si>
    <r>
      <t xml:space="preserve">Das Register </t>
    </r>
    <r>
      <rPr>
        <b/>
        <sz val="10"/>
        <rFont val="Arial"/>
        <family val="2"/>
      </rPr>
      <t>Anästhesie-Gase</t>
    </r>
    <r>
      <rPr>
        <sz val="10"/>
        <rFont val="Arial"/>
        <family val="2"/>
      </rPr>
      <t xml:space="preserve"> ist folgendermaßen zu verwenden:
</t>
    </r>
    <r>
      <rPr>
        <b/>
        <sz val="10"/>
        <rFont val="Arial"/>
        <family val="2"/>
      </rPr>
      <t>Geben Sie Ihre Daten entsprechend der Gebindegrößen an Ihrem Klinikum ein. Das Endergebnis übertragen Sie anschließend wieder in EcoCockpit.</t>
    </r>
  </si>
  <si>
    <t>Genaue Quellen s. Handbuch</t>
  </si>
  <si>
    <t>Summe (luftgebundene Notfallkontakte)</t>
  </si>
  <si>
    <r>
      <rPr>
        <b/>
        <sz val="10"/>
        <rFont val="Arial"/>
        <family val="2"/>
      </rPr>
      <t>Schritt 2:</t>
    </r>
    <r>
      <rPr>
        <sz val="10"/>
        <rFont val="Arial"/>
        <family val="2"/>
      </rPr>
      <t xml:space="preserve"> Geben Sie hier die Daten zu </t>
    </r>
    <r>
      <rPr>
        <b/>
        <sz val="10"/>
        <rFont val="Arial"/>
        <family val="2"/>
      </rPr>
      <t>den Besuchen von Patient*innen mit Wohnsitz in Deutschland</t>
    </r>
    <r>
      <rPr>
        <sz val="10"/>
        <rFont val="Arial"/>
        <family val="2"/>
      </rPr>
      <t xml:space="preserve"> ein</t>
    </r>
  </si>
  <si>
    <r>
      <rPr>
        <b/>
        <sz val="10"/>
        <rFont val="Arial"/>
        <family val="2"/>
      </rPr>
      <t>Schritt 3:</t>
    </r>
    <r>
      <rPr>
        <sz val="10"/>
        <rFont val="Arial"/>
        <family val="2"/>
      </rPr>
      <t xml:space="preserve"> Geben Sie hier die Daten zu </t>
    </r>
    <r>
      <rPr>
        <b/>
        <sz val="10"/>
        <rFont val="Arial"/>
        <family val="2"/>
      </rPr>
      <t>den Besuchen von Patient*innen mit Wohnsitz außerhalb Deutschlands</t>
    </r>
    <r>
      <rPr>
        <sz val="10"/>
        <rFont val="Arial"/>
        <family val="2"/>
      </rPr>
      <t xml:space="preserve"> ein</t>
    </r>
  </si>
  <si>
    <t>Luftgebundene Notfallkontakte</t>
  </si>
  <si>
    <t>Besuche Patient*innen</t>
  </si>
  <si>
    <t>Geschäftsreisen (Mobilität)</t>
  </si>
  <si>
    <t>Geschäftsreisen (Hotelübernachtung)</t>
  </si>
  <si>
    <t>Zwischenergebnis (Mobilität)</t>
  </si>
  <si>
    <r>
      <rPr>
        <b/>
        <sz val="10"/>
        <rFont val="Arial"/>
        <family val="2"/>
      </rPr>
      <t>Zwischenergebnis:</t>
    </r>
    <r>
      <rPr>
        <sz val="10"/>
        <rFont val="Arial"/>
        <family val="2"/>
      </rPr>
      <t xml:space="preserve"> THG-Emissionen durch Dienstreisen (</t>
    </r>
    <r>
      <rPr>
        <b/>
        <sz val="10"/>
        <rFont val="Arial"/>
        <family val="2"/>
      </rPr>
      <t>Mobilität</t>
    </r>
    <r>
      <rPr>
        <sz val="10"/>
        <rFont val="Arial"/>
        <family val="2"/>
      </rPr>
      <t>)</t>
    </r>
  </si>
  <si>
    <t>Zwischenergebnis (Hotelübernachtung)</t>
  </si>
  <si>
    <r>
      <t>=&gt; Ergebnis (kg CO</t>
    </r>
    <r>
      <rPr>
        <b/>
        <vertAlign val="subscript"/>
        <sz val="10"/>
        <rFont val="Arial"/>
        <family val="2"/>
      </rPr>
      <t>2</t>
    </r>
    <r>
      <rPr>
        <b/>
        <sz val="10"/>
        <rFont val="Arial"/>
        <family val="2"/>
      </rPr>
      <t>e) in Ecocockpit eingeben</t>
    </r>
  </si>
  <si>
    <r>
      <t>=&gt; Ergebnis (kg CO</t>
    </r>
    <r>
      <rPr>
        <b/>
        <vertAlign val="subscript"/>
        <sz val="10"/>
        <color theme="1"/>
        <rFont val="Arial"/>
        <family val="2"/>
      </rPr>
      <t>2</t>
    </r>
    <r>
      <rPr>
        <b/>
        <sz val="10"/>
        <color theme="1"/>
        <rFont val="Arial"/>
        <family val="2"/>
      </rPr>
      <t>e) in Ecocockpit eingeben</t>
    </r>
  </si>
  <si>
    <t>Auswahl PLZ Ihres Klinikums</t>
  </si>
  <si>
    <t>Berechnung der THG-Emissionen zu Regelkontakten von Patient*innen mit Wohnsitz in Deutschland</t>
  </si>
  <si>
    <t>Fahrrad (km)</t>
  </si>
  <si>
    <t>Bei Bedarf Summe der Flüge nach Region hier direkt eingeben</t>
  </si>
  <si>
    <r>
      <t xml:space="preserve">Hier eignet sich eine </t>
    </r>
    <r>
      <rPr>
        <b/>
        <sz val="10"/>
        <color theme="1"/>
        <rFont val="Arial"/>
        <family val="2"/>
      </rPr>
      <t>Berechnung anhand der PLZ</t>
    </r>
    <r>
      <rPr>
        <sz val="10"/>
        <color theme="1"/>
        <rFont val="Arial"/>
        <family val="2"/>
      </rPr>
      <t xml:space="preserve"> (in der Personalabteilungen hinterlegter Wohnort), mittels Mitarbeitendenbefragung oder alternativ Schätzung.</t>
    </r>
  </si>
  <si>
    <t>50 - 99 Kilometer</t>
  </si>
  <si>
    <t>mehr als 100 Kilometer</t>
  </si>
  <si>
    <t>30-39 Kilometer</t>
  </si>
  <si>
    <t>20 - 29 Kilometer</t>
  </si>
  <si>
    <t>40-49 Kilometer</t>
  </si>
  <si>
    <t>40 - 49 Kilometer</t>
  </si>
  <si>
    <t>30 - 39 Kilometer</t>
  </si>
  <si>
    <r>
      <t xml:space="preserve">Schritt 5: </t>
    </r>
    <r>
      <rPr>
        <sz val="10"/>
        <rFont val="Arial"/>
        <family val="2"/>
      </rPr>
      <t>Geben Sie in der entsprechenden Spalte die Anzahl der</t>
    </r>
    <r>
      <rPr>
        <b/>
        <sz val="10"/>
        <rFont val="Arial"/>
        <family val="2"/>
      </rPr>
      <t xml:space="preserve"> Hotelübernachtungen im jeweiligen Land </t>
    </r>
    <r>
      <rPr>
        <sz val="10"/>
        <rFont val="Arial"/>
        <family val="2"/>
      </rPr>
      <t>ein</t>
    </r>
    <r>
      <rPr>
        <b/>
        <sz val="10"/>
        <rFont val="Arial"/>
        <family val="2"/>
      </rPr>
      <t xml:space="preserve"> </t>
    </r>
  </si>
  <si>
    <r>
      <t>=&gt; Ergebnis (kg CO</t>
    </r>
    <r>
      <rPr>
        <b/>
        <vertAlign val="subscript"/>
        <sz val="10"/>
        <color theme="1"/>
        <rFont val="Arial"/>
        <family val="2"/>
      </rPr>
      <t>2</t>
    </r>
    <r>
      <rPr>
        <b/>
        <sz val="10"/>
        <color theme="1"/>
        <rFont val="Arial"/>
        <family val="2"/>
      </rPr>
      <t>e) in Ecocockpit eingeben: A) Geschäftsreisen (Goldstandard)</t>
    </r>
  </si>
  <si>
    <r>
      <t xml:space="preserve">In den hellgrün hinterlegten Felder sind Standardwerte zum Mobilitätsverhalten der Mitarbeitenden je nach Entfernung zum Klinikum eingespeichert (basierend auf Studie "Mobilität in Deutschland" im Auftrag des BMVI, mehr Infos siehe Handbuch S.26).
Wenn Sie </t>
    </r>
    <r>
      <rPr>
        <b/>
        <sz val="10"/>
        <rFont val="Arial"/>
        <family val="2"/>
      </rPr>
      <t>individuelle Daten</t>
    </r>
    <r>
      <rPr>
        <sz val="10"/>
        <rFont val="Arial"/>
        <family val="2"/>
      </rPr>
      <t xml:space="preserve"> haben, z.B. aus einer Mobilitätsstudie, so passen Sie diese bitte in den entsprechenden Zellen </t>
    </r>
    <r>
      <rPr>
        <b/>
        <sz val="10"/>
        <rFont val="Arial"/>
        <family val="2"/>
      </rPr>
      <t>im hellgrün hinterlegten Bereich</t>
    </r>
    <r>
      <rPr>
        <sz val="10"/>
        <rFont val="Arial"/>
        <family val="2"/>
      </rPr>
      <t xml:space="preserve"> an.</t>
    </r>
  </si>
  <si>
    <t>UBA 2025</t>
  </si>
  <si>
    <t>CAFOGES-KliOL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</si>
</sst>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
    <numFmt numFmtId="166" formatCode="0\ &quot;km&quot;"/>
    <numFmt numFmtId="167" formatCode="_-* #,##0_-;\-* #,##0_-;_-* &quot;-&quot;??_-;_-@_-"/>
    <numFmt numFmtId="168" formatCode="0.0\ &quot;km&quot;"/>
  </numFmts>
  <fonts count="27"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u/>
      <sz val="10"/>
      <color theme="10"/>
      <name val="Arial"/>
      <family val="2"/>
    </font>
    <font>
      <sz val="10"/>
      <name val="Arial"/>
      <family val="2"/>
    </font>
    <font>
      <b/>
      <sz val="10"/>
      <name val="Arial"/>
      <family val="2"/>
    </font>
    <font>
      <i/>
      <sz val="10"/>
      <name val="Arial"/>
      <family val="2"/>
    </font>
    <font>
      <sz val="10"/>
      <color theme="0"/>
      <name val="Arial"/>
      <family val="2"/>
    </font>
    <font>
      <b/>
      <sz val="22"/>
      <name val="Arial"/>
      <family val="2"/>
    </font>
    <font>
      <b/>
      <sz val="10"/>
      <color theme="0"/>
      <name val="Arial"/>
      <family val="2"/>
    </font>
    <font>
      <sz val="10"/>
      <color rgb="FFFF0000"/>
      <name val="Arial"/>
      <family val="2"/>
    </font>
    <font>
      <sz val="10"/>
      <color rgb="FF9154D8"/>
      <name val="Arial"/>
      <family val="2"/>
    </font>
    <font>
      <sz val="10"/>
      <color rgb="FFF2C446"/>
      <name val="Arial"/>
      <family val="2"/>
    </font>
    <font>
      <sz val="11"/>
      <color theme="1"/>
      <name val="Arial"/>
      <family val="2"/>
    </font>
    <font>
      <b/>
      <u/>
      <sz val="11"/>
      <color rgb="FF0070C0"/>
      <name val="Arial"/>
      <family val="2"/>
    </font>
    <font>
      <b/>
      <vertAlign val="subscript"/>
      <sz val="10"/>
      <color theme="0"/>
      <name val="Arial"/>
      <family val="2"/>
    </font>
    <font>
      <i/>
      <sz val="10"/>
      <color theme="1"/>
      <name val="Arial"/>
      <family val="2"/>
    </font>
    <font>
      <b/>
      <i/>
      <sz val="10"/>
      <color theme="0"/>
      <name val="Arial"/>
      <family val="2"/>
    </font>
    <font>
      <sz val="10"/>
      <color theme="1"/>
      <name val="Calibri"/>
      <family val="2"/>
      <scheme val="minor"/>
    </font>
    <font>
      <b/>
      <u/>
      <sz val="10"/>
      <color rgb="FF0070C0"/>
      <name val="Arial"/>
      <family val="2"/>
    </font>
    <font>
      <b/>
      <u/>
      <sz val="10"/>
      <color theme="1"/>
      <name val="Arial"/>
      <family val="2"/>
    </font>
    <font>
      <i/>
      <sz val="10"/>
      <color theme="1" tint="0.499984740745262"/>
      <name val="Arial"/>
      <family val="2"/>
    </font>
    <font>
      <sz val="10"/>
      <color theme="1" tint="0.499984740745262"/>
      <name val="Arial"/>
      <family val="2"/>
    </font>
    <font>
      <b/>
      <vertAlign val="subscript"/>
      <sz val="10"/>
      <name val="Arial"/>
      <family val="2"/>
    </font>
    <font>
      <b/>
      <vertAlign val="subscript"/>
      <sz val="10"/>
      <color theme="1"/>
      <name val="Arial"/>
      <family val="2"/>
    </font>
    <font>
      <sz val="10"/>
      <color theme="1"/>
      <name val="Arial"/>
      <family val="2"/>
    </font>
  </fonts>
  <fills count="17">
    <fill>
      <patternFill patternType="none"/>
    </fill>
    <fill>
      <patternFill patternType="gray125"/>
    </fill>
    <fill>
      <patternFill patternType="solid">
        <fgColor theme="4"/>
        <bgColor theme="4"/>
      </patternFill>
    </fill>
    <fill>
      <patternFill patternType="solid">
        <fgColor theme="8" tint="0.59999389629810485"/>
        <bgColor indexed="64"/>
      </patternFill>
    </fill>
    <fill>
      <patternFill patternType="solid">
        <fgColor theme="8" tint="0.59999389629810485"/>
        <bgColor theme="4" tint="0.79998168889431442"/>
      </patternFill>
    </fill>
    <fill>
      <patternFill patternType="solid">
        <fgColor theme="8" tint="0.59999389629810485"/>
        <bgColor theme="4"/>
      </patternFill>
    </fill>
    <fill>
      <patternFill patternType="lightDown">
        <fgColor theme="1"/>
        <bgColor theme="8" tint="0.59999389629810485"/>
      </patternFill>
    </fill>
    <fill>
      <patternFill patternType="solid">
        <fgColor theme="8" tint="0.59999389629810485"/>
        <bgColor theme="7" tint="0.59999389629810485"/>
      </patternFill>
    </fill>
    <fill>
      <patternFill patternType="solid">
        <fgColor rgb="FFFFFF0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9"/>
        <bgColor indexed="64"/>
      </patternFill>
    </fill>
    <fill>
      <patternFill patternType="solid">
        <fgColor rgb="FF004F7C"/>
        <bgColor indexed="64"/>
      </patternFill>
    </fill>
    <fill>
      <patternFill patternType="solid">
        <fgColor theme="7" tint="0.59999389629810485"/>
        <bgColor theme="7" tint="0.59999389629810485"/>
      </patternFill>
    </fill>
    <fill>
      <patternFill patternType="solid">
        <fgColor theme="9" tint="0.59999389629810485"/>
        <bgColor indexed="64"/>
      </patternFill>
    </fill>
    <fill>
      <patternFill patternType="solid">
        <fgColor theme="4" tint="0.79998168889431442"/>
        <bgColor theme="4" tint="0.79998168889431442"/>
      </patternFill>
    </fill>
    <fill>
      <patternFill patternType="solid">
        <fgColor theme="0"/>
        <bgColor indexed="64"/>
      </patternFill>
    </fill>
  </fills>
  <borders count="82">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4" tint="0.39997558519241921"/>
      </bottom>
      <diagonal/>
    </border>
    <border>
      <left/>
      <right style="thin">
        <color theme="8" tint="-0.249977111117893"/>
      </right>
      <top style="thin">
        <color theme="8" tint="-0.249977111117893"/>
      </top>
      <bottom style="thin">
        <color theme="8" tint="-0.249977111117893"/>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top style="thin">
        <color theme="8" tint="-0.249977111117893"/>
      </top>
      <bottom/>
      <diagonal/>
    </border>
    <border>
      <left style="thin">
        <color theme="8" tint="-0.249977111117893"/>
      </left>
      <right/>
      <top style="thin">
        <color theme="8" tint="-0.249977111117893"/>
      </top>
      <bottom/>
      <diagonal/>
    </border>
    <border>
      <left style="thin">
        <color theme="8" tint="-0.249977111117893"/>
      </left>
      <right style="thin">
        <color theme="8" tint="-0.249977111117893"/>
      </right>
      <top style="thin">
        <color theme="8" tint="-0.249977111117893"/>
      </top>
      <bottom/>
      <diagonal/>
    </border>
    <border>
      <left/>
      <right/>
      <top style="thin">
        <color theme="8" tint="-0.249977111117893"/>
      </top>
      <bottom style="thin">
        <color theme="8" tint="-0.249977111117893"/>
      </bottom>
      <diagonal/>
    </border>
    <border>
      <left/>
      <right style="thin">
        <color theme="8" tint="-0.249977111117893"/>
      </right>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top/>
      <bottom style="thin">
        <color theme="8" tint="-0.249977111117893"/>
      </bottom>
      <diagonal/>
    </border>
    <border>
      <left/>
      <right style="thin">
        <color theme="8" tint="-0.249977111117893"/>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theme="4" tint="0.39997558519241921"/>
      </right>
      <top/>
      <bottom/>
      <diagonal/>
    </border>
    <border>
      <left style="thin">
        <color theme="4" tint="0.39997558519241921"/>
      </left>
      <right/>
      <top/>
      <bottom/>
      <diagonal/>
    </border>
    <border>
      <left style="thin">
        <color theme="4" tint="0.39997558519241921"/>
      </left>
      <right style="thin">
        <color theme="4" tint="0.39997558519241921"/>
      </right>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right style="thin">
        <color theme="4" tint="0.39997558519241921"/>
      </right>
      <top/>
      <bottom style="thin">
        <color theme="4" tint="0.39997558519241921"/>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Dashed">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theme="4"/>
      </right>
      <top/>
      <bottom style="thin">
        <color theme="4"/>
      </bottom>
      <diagonal/>
    </border>
    <border>
      <left style="medium">
        <color indexed="64"/>
      </left>
      <right style="thin">
        <color theme="4"/>
      </right>
      <top style="thin">
        <color theme="4"/>
      </top>
      <bottom style="thin">
        <color theme="4"/>
      </bottom>
      <diagonal/>
    </border>
    <border>
      <left style="thin">
        <color theme="4"/>
      </left>
      <right style="medium">
        <color indexed="64"/>
      </right>
      <top style="thin">
        <color theme="4"/>
      </top>
      <bottom style="thin">
        <color theme="4"/>
      </bottom>
      <diagonal/>
    </border>
    <border>
      <left/>
      <right/>
      <top style="thin">
        <color indexed="64"/>
      </top>
      <bottom/>
      <diagonal/>
    </border>
    <border>
      <left style="thin">
        <color theme="8" tint="-0.249977111117893"/>
      </left>
      <right/>
      <top style="thin">
        <color theme="8" tint="-0.249977111117893"/>
      </top>
      <bottom style="mediumDashed">
        <color auto="1"/>
      </bottom>
      <diagonal/>
    </border>
    <border>
      <left style="thin">
        <color theme="8" tint="-0.249977111117893"/>
      </left>
      <right style="thin">
        <color theme="8" tint="-0.249977111117893"/>
      </right>
      <top style="thin">
        <color theme="8" tint="-0.249977111117893"/>
      </top>
      <bottom style="mediumDashed">
        <color auto="1"/>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bottom style="mediumDashed">
        <color auto="1"/>
      </bottom>
      <diagonal/>
    </border>
    <border>
      <left style="mediumDashed">
        <color auto="1"/>
      </left>
      <right/>
      <top style="thin">
        <color theme="8" tint="-0.249977111117893"/>
      </top>
      <bottom style="thin">
        <color theme="8" tint="-0.249977111117893"/>
      </bottom>
      <diagonal/>
    </border>
    <border>
      <left/>
      <right style="thin">
        <color theme="8" tint="-0.249977111117893"/>
      </right>
      <top style="thin">
        <color theme="8" tint="-0.249977111117893"/>
      </top>
      <bottom style="mediumDashed">
        <color auto="1"/>
      </bottom>
      <diagonal/>
    </border>
    <border>
      <left style="mediumDashed">
        <color auto="1"/>
      </left>
      <right/>
      <top style="thin">
        <color theme="8" tint="-0.249977111117893"/>
      </top>
      <bottom style="mediumDashed">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8" tint="-0.249977111117893"/>
      </left>
      <right/>
      <top/>
      <bottom/>
      <diagonal/>
    </border>
    <border>
      <left/>
      <right style="thin">
        <color theme="8" tint="-0.249977111117893"/>
      </right>
      <top style="thin">
        <color theme="8" tint="-0.249977111117893"/>
      </top>
      <bottom style="thin">
        <color theme="4" tint="0.39997558519241921"/>
      </bottom>
      <diagonal/>
    </border>
    <border>
      <left/>
      <right/>
      <top style="thin">
        <color theme="4" tint="0.39997558519241921"/>
      </top>
      <bottom style="thin">
        <color theme="4" tint="0.39997558519241921"/>
      </bottom>
      <diagonal/>
    </border>
    <border>
      <left style="thin">
        <color theme="8" tint="-0.249977111117893"/>
      </left>
      <right/>
      <top/>
      <bottom style="mediumDashed">
        <color auto="1"/>
      </bottom>
      <diagonal/>
    </border>
    <border>
      <left/>
      <right style="thin">
        <color theme="8" tint="-0.249977111117893"/>
      </right>
      <top/>
      <bottom/>
      <diagonal/>
    </border>
    <border>
      <left style="thin">
        <color theme="4" tint="0.39997558519241921"/>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bottom style="thin">
        <color theme="4" tint="0.39997558519241921"/>
      </bottom>
      <diagonal/>
    </border>
    <border>
      <left style="thin">
        <color theme="4" tint="0.39997558519241921"/>
      </left>
      <right style="thin">
        <color theme="4" tint="0.39997558519241921"/>
      </right>
      <top/>
      <bottom/>
      <diagonal/>
    </border>
    <border>
      <left style="thin">
        <color theme="4"/>
      </left>
      <right style="medium">
        <color indexed="64"/>
      </right>
      <top/>
      <bottom style="thin">
        <color theme="4"/>
      </bottom>
      <diagonal/>
    </border>
    <border>
      <left style="medium">
        <color indexed="64"/>
      </left>
      <right style="thin">
        <color theme="4"/>
      </right>
      <top style="thin">
        <color theme="4"/>
      </top>
      <bottom/>
      <diagonal/>
    </border>
    <border>
      <left style="thin">
        <color theme="4"/>
      </left>
      <right style="medium">
        <color indexed="64"/>
      </right>
      <top style="thin">
        <color theme="4"/>
      </top>
      <bottom/>
      <diagonal/>
    </border>
    <border>
      <left style="thin">
        <color theme="8" tint="-0.249977111117893"/>
      </left>
      <right style="medium">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style="mediumDashed">
        <color theme="1"/>
      </right>
      <top/>
      <bottom/>
      <diagonal/>
    </border>
    <border>
      <left/>
      <right style="thin">
        <color theme="0" tint="-0.249977111117893"/>
      </right>
      <top style="thin">
        <color theme="0" tint="-0.249977111117893"/>
      </top>
      <bottom style="thin">
        <color theme="0" tint="-0.249977111117893"/>
      </bottom>
      <diagonal/>
    </border>
    <border>
      <left style="mediumDashed">
        <color theme="1"/>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s>
  <cellStyleXfs count="5">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applyNumberFormat="0" applyFill="0" applyBorder="0" applyAlignment="0" applyProtection="0"/>
  </cellStyleXfs>
  <cellXfs count="319">
    <xf numFmtId="0" fontId="0" fillId="0" borderId="0" xfId="0"/>
    <xf numFmtId="0" fontId="2" fillId="7" borderId="14" xfId="0" applyFont="1" applyFill="1" applyBorder="1"/>
    <xf numFmtId="0" fontId="2" fillId="6" borderId="1" xfId="0" applyFont="1" applyFill="1" applyBorder="1" applyAlignment="1">
      <alignment horizontal="center"/>
    </xf>
    <xf numFmtId="3" fontId="2" fillId="7" borderId="14" xfId="0" applyNumberFormat="1" applyFont="1" applyFill="1" applyBorder="1" applyAlignment="1">
      <alignment horizontal="center"/>
    </xf>
    <xf numFmtId="43" fontId="5" fillId="0" borderId="0" xfId="3" applyFont="1" applyBorder="1"/>
    <xf numFmtId="0" fontId="5" fillId="0" borderId="45" xfId="0" applyFont="1" applyBorder="1" applyAlignment="1">
      <alignment horizontal="left" vertical="top"/>
    </xf>
    <xf numFmtId="43" fontId="6" fillId="11" borderId="51" xfId="3" applyFont="1" applyFill="1" applyBorder="1"/>
    <xf numFmtId="43" fontId="8" fillId="12" borderId="28" xfId="3" applyFont="1" applyFill="1" applyBorder="1" applyAlignment="1">
      <alignment vertical="center" wrapText="1"/>
    </xf>
    <xf numFmtId="43" fontId="8" fillId="12" borderId="29" xfId="3" applyFont="1" applyFill="1" applyBorder="1" applyAlignment="1">
      <alignment vertical="center" wrapText="1"/>
    </xf>
    <xf numFmtId="3" fontId="2" fillId="13" borderId="1" xfId="0" applyNumberFormat="1" applyFont="1" applyFill="1" applyBorder="1" applyProtection="1">
      <protection locked="0"/>
    </xf>
    <xf numFmtId="3" fontId="2" fillId="13" borderId="8" xfId="0" applyNumberFormat="1" applyFont="1" applyFill="1" applyBorder="1" applyProtection="1">
      <protection locked="0"/>
    </xf>
    <xf numFmtId="0" fontId="14" fillId="0" borderId="0" xfId="0" applyFont="1"/>
    <xf numFmtId="0" fontId="14" fillId="0" borderId="0" xfId="0" applyFont="1" applyAlignment="1">
      <alignment horizontal="center"/>
    </xf>
    <xf numFmtId="0" fontId="15" fillId="0" borderId="0" xfId="0" applyFont="1"/>
    <xf numFmtId="43" fontId="5" fillId="0" borderId="0" xfId="3" applyFont="1" applyBorder="1" applyAlignment="1">
      <alignment vertical="center"/>
    </xf>
    <xf numFmtId="43" fontId="5" fillId="0" borderId="43" xfId="3" applyFont="1" applyFill="1" applyBorder="1" applyAlignment="1">
      <alignment vertical="center"/>
    </xf>
    <xf numFmtId="0" fontId="6" fillId="0" borderId="0" xfId="0" applyFont="1" applyAlignment="1">
      <alignment horizontal="center"/>
    </xf>
    <xf numFmtId="0" fontId="3" fillId="6" borderId="1" xfId="0" applyFont="1" applyFill="1" applyBorder="1" applyAlignment="1">
      <alignment horizontal="center"/>
    </xf>
    <xf numFmtId="0" fontId="10" fillId="2" borderId="10" xfId="0" applyFont="1" applyFill="1" applyBorder="1"/>
    <xf numFmtId="0" fontId="10" fillId="2" borderId="11" xfId="0" applyFont="1" applyFill="1" applyBorder="1" applyAlignment="1">
      <alignment horizontal="center" wrapText="1"/>
    </xf>
    <xf numFmtId="0" fontId="10" fillId="2" borderId="12" xfId="0" applyFont="1" applyFill="1" applyBorder="1" applyAlignment="1">
      <alignment horizontal="center" wrapText="1"/>
    </xf>
    <xf numFmtId="0" fontId="10" fillId="2" borderId="11" xfId="0" applyFont="1" applyFill="1" applyBorder="1" applyAlignment="1">
      <alignment wrapText="1"/>
    </xf>
    <xf numFmtId="0" fontId="2" fillId="3" borderId="3" xfId="0" applyFont="1" applyFill="1" applyBorder="1"/>
    <xf numFmtId="3" fontId="2" fillId="10" borderId="1" xfId="0" applyNumberFormat="1" applyFont="1" applyFill="1" applyBorder="1" applyAlignment="1" applyProtection="1">
      <alignment horizontal="center"/>
      <protection locked="0"/>
    </xf>
    <xf numFmtId="3" fontId="2" fillId="3" borderId="14" xfId="0" applyNumberFormat="1" applyFont="1" applyFill="1" applyBorder="1" applyAlignment="1">
      <alignment horizontal="center"/>
    </xf>
    <xf numFmtId="164" fontId="2" fillId="3" borderId="1" xfId="0" applyNumberFormat="1" applyFont="1" applyFill="1" applyBorder="1" applyAlignment="1">
      <alignment horizontal="center"/>
    </xf>
    <xf numFmtId="4" fontId="2" fillId="11" borderId="14" xfId="0" applyNumberFormat="1" applyFont="1" applyFill="1" applyBorder="1" applyAlignment="1">
      <alignment horizontal="center"/>
    </xf>
    <xf numFmtId="0" fontId="2" fillId="0" borderId="0" xfId="0" applyFont="1" applyProtection="1">
      <protection locked="0"/>
    </xf>
    <xf numFmtId="0" fontId="2" fillId="3" borderId="13" xfId="0" applyFont="1" applyFill="1" applyBorder="1"/>
    <xf numFmtId="3" fontId="2" fillId="3" borderId="8" xfId="0" applyNumberFormat="1" applyFont="1" applyFill="1" applyBorder="1" applyAlignment="1">
      <alignment horizontal="center"/>
    </xf>
    <xf numFmtId="3" fontId="2" fillId="3" borderId="7" xfId="0" applyNumberFormat="1" applyFont="1" applyFill="1" applyBorder="1" applyAlignment="1">
      <alignment horizontal="center"/>
    </xf>
    <xf numFmtId="4" fontId="2" fillId="11" borderId="7" xfId="0" applyNumberFormat="1" applyFont="1" applyFill="1" applyBorder="1" applyAlignment="1">
      <alignment horizontal="center"/>
    </xf>
    <xf numFmtId="164" fontId="2" fillId="3" borderId="2" xfId="0" applyNumberFormat="1" applyFont="1" applyFill="1" applyBorder="1" applyAlignment="1">
      <alignment horizontal="center"/>
    </xf>
    <xf numFmtId="0" fontId="2" fillId="0" borderId="23" xfId="0" applyFont="1" applyBorder="1"/>
    <xf numFmtId="0" fontId="2" fillId="0" borderId="0" xfId="0" applyFont="1"/>
    <xf numFmtId="0" fontId="2" fillId="0" borderId="43" xfId="0" applyFont="1" applyBorder="1"/>
    <xf numFmtId="0" fontId="2" fillId="0" borderId="45" xfId="0" applyFont="1" applyBorder="1"/>
    <xf numFmtId="43" fontId="2" fillId="0" borderId="0" xfId="3" applyFont="1" applyBorder="1"/>
    <xf numFmtId="0" fontId="2" fillId="0" borderId="42" xfId="0" applyFont="1" applyBorder="1" applyAlignment="1">
      <alignment vertical="center"/>
    </xf>
    <xf numFmtId="0" fontId="2" fillId="0" borderId="0" xfId="0" applyFont="1" applyAlignment="1">
      <alignment vertical="center"/>
    </xf>
    <xf numFmtId="43" fontId="2" fillId="0" borderId="0" xfId="3" applyFont="1" applyBorder="1" applyAlignment="1">
      <alignment vertical="center"/>
    </xf>
    <xf numFmtId="0" fontId="2" fillId="0" borderId="0" xfId="0" applyFont="1" applyAlignment="1" applyProtection="1">
      <alignment horizontal="right"/>
      <protection locked="0"/>
    </xf>
    <xf numFmtId="0" fontId="5" fillId="0" borderId="31" xfId="0" applyFont="1" applyBorder="1" applyAlignment="1">
      <alignment vertical="top"/>
    </xf>
    <xf numFmtId="0" fontId="2" fillId="0" borderId="60" xfId="0" applyFont="1" applyBorder="1"/>
    <xf numFmtId="0" fontId="2" fillId="0" borderId="60" xfId="0" applyFont="1" applyBorder="1" applyAlignment="1">
      <alignment horizontal="center"/>
    </xf>
    <xf numFmtId="0" fontId="2" fillId="0" borderId="61" xfId="0" applyFont="1" applyBorder="1"/>
    <xf numFmtId="0" fontId="6" fillId="0" borderId="31" xfId="0" applyFont="1" applyBorder="1" applyAlignment="1">
      <alignment vertical="top"/>
    </xf>
    <xf numFmtId="0" fontId="2" fillId="0" borderId="0" xfId="0" applyFont="1" applyAlignment="1" applyProtection="1">
      <alignment horizontal="center"/>
      <protection locked="0"/>
    </xf>
    <xf numFmtId="0" fontId="2" fillId="0" borderId="11" xfId="0" quotePrefix="1" applyFont="1" applyBorder="1" applyAlignment="1">
      <alignment horizontal="center" vertical="center" wrapText="1"/>
    </xf>
    <xf numFmtId="0" fontId="2" fillId="3" borderId="6" xfId="0" applyFont="1" applyFill="1" applyBorder="1"/>
    <xf numFmtId="0" fontId="2" fillId="3" borderId="63" xfId="0" applyFont="1" applyFill="1" applyBorder="1" applyAlignment="1">
      <alignment wrapText="1"/>
    </xf>
    <xf numFmtId="0" fontId="10" fillId="2" borderId="11" xfId="0" applyFont="1" applyFill="1" applyBorder="1" applyAlignment="1">
      <alignment horizontal="center" vertical="center" wrapText="1"/>
    </xf>
    <xf numFmtId="3" fontId="2" fillId="13" borderId="11" xfId="0" applyNumberFormat="1" applyFont="1" applyFill="1" applyBorder="1" applyAlignment="1" applyProtection="1">
      <alignment horizontal="center"/>
      <protection locked="0"/>
    </xf>
    <xf numFmtId="3" fontId="2" fillId="13" borderId="1" xfId="0" applyNumberFormat="1" applyFont="1" applyFill="1" applyBorder="1" applyAlignment="1" applyProtection="1">
      <alignment horizontal="center"/>
      <protection locked="0"/>
    </xf>
    <xf numFmtId="0" fontId="2" fillId="15" borderId="64" xfId="0" applyFont="1" applyFill="1" applyBorder="1"/>
    <xf numFmtId="0" fontId="3" fillId="3" borderId="14" xfId="0" applyFont="1" applyFill="1" applyBorder="1"/>
    <xf numFmtId="0" fontId="10" fillId="2" borderId="1" xfId="0" applyFont="1" applyFill="1" applyBorder="1"/>
    <xf numFmtId="0" fontId="10" fillId="2" borderId="1" xfId="0" quotePrefix="1" applyFont="1" applyFill="1" applyBorder="1" applyAlignment="1">
      <alignment horizontal="center" vertical="center" wrapText="1"/>
    </xf>
    <xf numFmtId="0" fontId="2" fillId="3" borderId="7" xfId="0" applyFont="1" applyFill="1" applyBorder="1" applyAlignment="1">
      <alignment wrapText="1"/>
    </xf>
    <xf numFmtId="0" fontId="2" fillId="6" borderId="14" xfId="0" applyFont="1" applyFill="1" applyBorder="1" applyAlignment="1">
      <alignment horizontal="center"/>
    </xf>
    <xf numFmtId="0" fontId="10" fillId="2" borderId="11" xfId="0" applyFont="1" applyFill="1" applyBorder="1"/>
    <xf numFmtId="0" fontId="10" fillId="2" borderId="11" xfId="0" quotePrefix="1" applyFont="1" applyFill="1" applyBorder="1" applyAlignment="1">
      <alignment horizontal="center" vertical="center" wrapText="1"/>
    </xf>
    <xf numFmtId="0" fontId="10" fillId="2" borderId="12" xfId="0" applyFont="1" applyFill="1" applyBorder="1" applyAlignment="1">
      <alignment wrapText="1"/>
    </xf>
    <xf numFmtId="0" fontId="3" fillId="3" borderId="7" xfId="0" applyFont="1" applyFill="1" applyBorder="1"/>
    <xf numFmtId="0" fontId="3" fillId="6" borderId="8" xfId="0" applyFont="1" applyFill="1" applyBorder="1" applyAlignment="1">
      <alignment horizontal="center"/>
    </xf>
    <xf numFmtId="0" fontId="3" fillId="6" borderId="7" xfId="0" applyFont="1" applyFill="1" applyBorder="1" applyAlignment="1">
      <alignment horizontal="center"/>
    </xf>
    <xf numFmtId="0" fontId="10" fillId="2" borderId="11" xfId="0" quotePrefix="1" applyFont="1" applyFill="1" applyBorder="1" applyAlignment="1">
      <alignment horizontal="center" wrapText="1"/>
    </xf>
    <xf numFmtId="0" fontId="3" fillId="6" borderId="55" xfId="0" applyFont="1" applyFill="1" applyBorder="1" applyAlignment="1">
      <alignment horizontal="center"/>
    </xf>
    <xf numFmtId="0" fontId="2" fillId="6" borderId="7" xfId="0" applyFont="1" applyFill="1" applyBorder="1" applyAlignment="1">
      <alignment horizontal="center"/>
    </xf>
    <xf numFmtId="0" fontId="3" fillId="3" borderId="6" xfId="0" applyFont="1" applyFill="1" applyBorder="1"/>
    <xf numFmtId="0" fontId="2" fillId="0" borderId="60" xfId="0" applyFont="1" applyBorder="1" applyProtection="1">
      <protection locked="0"/>
    </xf>
    <xf numFmtId="0" fontId="2" fillId="0" borderId="60" xfId="0" applyFont="1" applyBorder="1" applyAlignment="1" applyProtection="1">
      <alignment horizontal="center"/>
      <protection locked="0"/>
    </xf>
    <xf numFmtId="3" fontId="2" fillId="11" borderId="14" xfId="0" applyNumberFormat="1" applyFont="1" applyFill="1" applyBorder="1" applyAlignment="1">
      <alignment horizontal="center"/>
    </xf>
    <xf numFmtId="0" fontId="17" fillId="3" borderId="3" xfId="0" applyFont="1" applyFill="1" applyBorder="1"/>
    <xf numFmtId="3" fontId="2" fillId="3" borderId="14" xfId="0" applyNumberFormat="1" applyFont="1" applyFill="1" applyBorder="1" applyAlignment="1">
      <alignment horizontal="left"/>
    </xf>
    <xf numFmtId="0" fontId="18" fillId="2" borderId="1" xfId="0" applyFont="1" applyFill="1" applyBorder="1"/>
    <xf numFmtId="0" fontId="2" fillId="0" borderId="10" xfId="0" applyFont="1" applyBorder="1"/>
    <xf numFmtId="0" fontId="2" fillId="0" borderId="11" xfId="0" applyFont="1" applyBorder="1" applyAlignment="1">
      <alignment horizontal="center" wrapText="1"/>
    </xf>
    <xf numFmtId="1" fontId="2" fillId="3" borderId="1" xfId="0" applyNumberFormat="1" applyFont="1" applyFill="1" applyBorder="1" applyAlignment="1">
      <alignment horizontal="center"/>
    </xf>
    <xf numFmtId="0" fontId="19" fillId="0" borderId="0" xfId="0" applyFont="1"/>
    <xf numFmtId="0" fontId="2" fillId="0" borderId="0" xfId="0" applyFont="1" applyAlignment="1">
      <alignment horizontal="center"/>
    </xf>
    <xf numFmtId="0" fontId="2" fillId="0" borderId="11" xfId="0" quotePrefix="1" applyFont="1" applyBorder="1"/>
    <xf numFmtId="43" fontId="2" fillId="0" borderId="0" xfId="3" applyFont="1"/>
    <xf numFmtId="0" fontId="2" fillId="0" borderId="35" xfId="0" applyFont="1" applyBorder="1"/>
    <xf numFmtId="0" fontId="2" fillId="0" borderId="36" xfId="0" applyFont="1" applyBorder="1"/>
    <xf numFmtId="0" fontId="2" fillId="0" borderId="37" xfId="0" applyFont="1" applyBorder="1"/>
    <xf numFmtId="0" fontId="2" fillId="3" borderId="57" xfId="0" applyFont="1" applyFill="1" applyBorder="1"/>
    <xf numFmtId="43" fontId="6" fillId="0" borderId="43" xfId="3" applyFont="1" applyFill="1" applyBorder="1" applyAlignment="1">
      <alignment vertical="center"/>
    </xf>
    <xf numFmtId="0" fontId="2" fillId="3" borderId="59" xfId="0" applyFont="1" applyFill="1" applyBorder="1"/>
    <xf numFmtId="0" fontId="2" fillId="3" borderId="58" xfId="0" applyFont="1" applyFill="1" applyBorder="1"/>
    <xf numFmtId="3" fontId="2" fillId="3" borderId="53" xfId="0" applyNumberFormat="1" applyFont="1" applyFill="1" applyBorder="1" applyAlignment="1">
      <alignment horizontal="center"/>
    </xf>
    <xf numFmtId="164" fontId="2" fillId="3" borderId="54" xfId="0" applyNumberFormat="1" applyFont="1" applyFill="1" applyBorder="1" applyAlignment="1">
      <alignment horizontal="center"/>
    </xf>
    <xf numFmtId="43" fontId="2" fillId="0" borderId="45" xfId="3" applyFont="1" applyBorder="1" applyAlignment="1">
      <alignment vertical="center"/>
    </xf>
    <xf numFmtId="43" fontId="7" fillId="0" borderId="46" xfId="3" applyFont="1" applyFill="1" applyBorder="1" applyAlignment="1">
      <alignment horizontal="right" vertical="center"/>
    </xf>
    <xf numFmtId="0" fontId="2" fillId="8" borderId="46" xfId="0" applyFont="1" applyFill="1" applyBorder="1"/>
    <xf numFmtId="0" fontId="20" fillId="0" borderId="0" xfId="0" applyFont="1"/>
    <xf numFmtId="0" fontId="20" fillId="0" borderId="0" xfId="0" applyFont="1" applyAlignment="1">
      <alignment horizontal="center"/>
    </xf>
    <xf numFmtId="1" fontId="10" fillId="2" borderId="1" xfId="0" applyNumberFormat="1" applyFont="1" applyFill="1" applyBorder="1" applyAlignment="1">
      <alignment horizontal="center" wrapText="1"/>
    </xf>
    <xf numFmtId="9" fontId="2" fillId="10" borderId="1" xfId="1" applyFont="1" applyFill="1" applyBorder="1" applyAlignment="1" applyProtection="1">
      <alignment horizontal="center" vertical="center"/>
      <protection locked="0"/>
    </xf>
    <xf numFmtId="0" fontId="2" fillId="3" borderId="1" xfId="0" applyFont="1" applyFill="1" applyBorder="1" applyAlignment="1">
      <alignment horizontal="center" vertical="center" wrapText="1"/>
    </xf>
    <xf numFmtId="0" fontId="2" fillId="3" borderId="1" xfId="0" applyFont="1" applyFill="1" applyBorder="1" applyAlignment="1">
      <alignment horizontal="left" wrapText="1"/>
    </xf>
    <xf numFmtId="0" fontId="2" fillId="0" borderId="0" xfId="0" applyFont="1" applyAlignment="1">
      <alignment vertical="top" wrapText="1"/>
    </xf>
    <xf numFmtId="0" fontId="2" fillId="0" borderId="0" xfId="0" applyFont="1" applyAlignment="1">
      <alignment horizontal="left" vertical="top" wrapText="1"/>
    </xf>
    <xf numFmtId="0" fontId="2" fillId="3" borderId="1" xfId="0" applyFont="1" applyFill="1" applyBorder="1"/>
    <xf numFmtId="0" fontId="2" fillId="3" borderId="1" xfId="0" applyFont="1" applyFill="1" applyBorder="1" applyAlignment="1">
      <alignment horizontal="center"/>
    </xf>
    <xf numFmtId="9" fontId="2" fillId="14" borderId="1" xfId="1" applyFont="1" applyFill="1" applyBorder="1" applyAlignment="1" applyProtection="1">
      <alignment horizontal="center" vertical="center"/>
      <protection locked="0"/>
    </xf>
    <xf numFmtId="2" fontId="2" fillId="0" borderId="0" xfId="0" applyNumberFormat="1" applyFont="1" applyAlignment="1" applyProtection="1">
      <alignment horizontal="center"/>
      <protection locked="0"/>
    </xf>
    <xf numFmtId="0" fontId="2" fillId="0" borderId="31" xfId="0" applyFont="1" applyBorder="1"/>
    <xf numFmtId="1" fontId="10" fillId="2" borderId="0" xfId="0" applyNumberFormat="1" applyFont="1" applyFill="1" applyAlignment="1">
      <alignment horizontal="center"/>
    </xf>
    <xf numFmtId="1" fontId="10" fillId="2" borderId="0" xfId="0" applyNumberFormat="1" applyFont="1" applyFill="1" applyAlignment="1">
      <alignment horizontal="center" wrapText="1"/>
    </xf>
    <xf numFmtId="1" fontId="10" fillId="2" borderId="16" xfId="0" applyNumberFormat="1" applyFont="1" applyFill="1" applyBorder="1" applyAlignment="1">
      <alignment horizontal="center" wrapText="1"/>
    </xf>
    <xf numFmtId="0" fontId="2" fillId="4" borderId="1" xfId="0" applyFont="1" applyFill="1" applyBorder="1"/>
    <xf numFmtId="3" fontId="2" fillId="3" borderId="6" xfId="0" applyNumberFormat="1" applyFont="1" applyFill="1" applyBorder="1" applyAlignment="1">
      <alignment horizontal="center"/>
    </xf>
    <xf numFmtId="0" fontId="6" fillId="5" borderId="1" xfId="0" applyFont="1" applyFill="1" applyBorder="1"/>
    <xf numFmtId="3" fontId="3" fillId="3" borderId="6" xfId="0" applyNumberFormat="1" applyFont="1" applyFill="1" applyBorder="1" applyAlignment="1">
      <alignment horizontal="center"/>
    </xf>
    <xf numFmtId="3" fontId="3" fillId="3" borderId="7" xfId="0" applyNumberFormat="1" applyFont="1" applyFill="1" applyBorder="1" applyAlignment="1">
      <alignment horizontal="center"/>
    </xf>
    <xf numFmtId="3" fontId="3" fillId="3" borderId="8" xfId="0" applyNumberFormat="1" applyFont="1" applyFill="1" applyBorder="1" applyAlignment="1">
      <alignment horizontal="center"/>
    </xf>
    <xf numFmtId="9" fontId="3" fillId="3" borderId="6" xfId="1" applyFont="1" applyFill="1" applyBorder="1" applyAlignment="1" applyProtection="1">
      <alignment horizontal="center"/>
    </xf>
    <xf numFmtId="165" fontId="3" fillId="3" borderId="6" xfId="1" applyNumberFormat="1" applyFont="1" applyFill="1" applyBorder="1" applyAlignment="1" applyProtection="1">
      <alignment horizontal="center"/>
    </xf>
    <xf numFmtId="2" fontId="2" fillId="0" borderId="0" xfId="0" applyNumberFormat="1" applyFont="1" applyProtection="1">
      <protection locked="0"/>
    </xf>
    <xf numFmtId="0" fontId="11" fillId="0" borderId="0" xfId="0" applyFont="1" applyAlignment="1" applyProtection="1">
      <alignment horizontal="center"/>
      <protection locked="0"/>
    </xf>
    <xf numFmtId="3" fontId="2" fillId="14" borderId="8" xfId="0" applyNumberFormat="1" applyFont="1" applyFill="1" applyBorder="1" applyAlignment="1" applyProtection="1">
      <alignment horizontal="right" indent="1"/>
      <protection locked="0"/>
    </xf>
    <xf numFmtId="0" fontId="2" fillId="3" borderId="1" xfId="0" quotePrefix="1" applyFont="1" applyFill="1" applyBorder="1" applyAlignment="1">
      <alignment wrapText="1"/>
    </xf>
    <xf numFmtId="0" fontId="3" fillId="3" borderId="1" xfId="0" applyFont="1" applyFill="1" applyBorder="1" applyAlignment="1">
      <alignment horizontal="left" wrapText="1"/>
    </xf>
    <xf numFmtId="9" fontId="2" fillId="3" borderId="1" xfId="1" applyFont="1" applyFill="1" applyBorder="1" applyAlignment="1">
      <alignment horizontal="center"/>
    </xf>
    <xf numFmtId="167" fontId="2" fillId="10" borderId="1" xfId="3" applyNumberFormat="1" applyFont="1" applyFill="1" applyBorder="1" applyAlignment="1" applyProtection="1">
      <alignment horizontal="center" vertical="center"/>
      <protection locked="0"/>
    </xf>
    <xf numFmtId="43" fontId="5" fillId="0" borderId="0" xfId="3" applyFont="1" applyBorder="1" applyAlignment="1">
      <alignment horizontal="left" vertical="center"/>
    </xf>
    <xf numFmtId="0" fontId="2" fillId="0" borderId="0" xfId="0" applyFont="1" applyAlignment="1">
      <alignment vertical="top"/>
    </xf>
    <xf numFmtId="0" fontId="5" fillId="0" borderId="0" xfId="0" applyFont="1" applyAlignment="1">
      <alignment vertical="top"/>
    </xf>
    <xf numFmtId="0" fontId="2" fillId="3" borderId="8" xfId="0" applyFont="1" applyFill="1" applyBorder="1" applyAlignment="1">
      <alignment horizontal="center"/>
    </xf>
    <xf numFmtId="9" fontId="2" fillId="10" borderId="8" xfId="1" applyFont="1" applyFill="1" applyBorder="1" applyAlignment="1" applyProtection="1">
      <alignment horizontal="center" vertical="center"/>
      <protection locked="0"/>
    </xf>
    <xf numFmtId="166" fontId="2" fillId="3" borderId="8" xfId="0" applyNumberFormat="1" applyFont="1" applyFill="1" applyBorder="1" applyAlignment="1" applyProtection="1">
      <alignment horizontal="center"/>
      <protection locked="0"/>
    </xf>
    <xf numFmtId="9" fontId="2" fillId="14" borderId="8" xfId="1" applyFont="1" applyFill="1" applyBorder="1" applyAlignment="1" applyProtection="1">
      <alignment horizontal="center" vertical="center"/>
      <protection locked="0"/>
    </xf>
    <xf numFmtId="167" fontId="3" fillId="3" borderId="1" xfId="3" applyNumberFormat="1" applyFont="1" applyFill="1" applyBorder="1" applyAlignment="1">
      <alignment horizontal="center" vertical="center" wrapText="1"/>
    </xf>
    <xf numFmtId="0" fontId="21" fillId="0" borderId="0" xfId="0" applyFont="1"/>
    <xf numFmtId="0" fontId="2" fillId="14" borderId="0" xfId="0" applyFont="1" applyFill="1"/>
    <xf numFmtId="0" fontId="10" fillId="2" borderId="15" xfId="0" applyFont="1" applyFill="1" applyBorder="1" applyAlignment="1">
      <alignment horizontal="center" wrapText="1"/>
    </xf>
    <xf numFmtId="0" fontId="10" fillId="2" borderId="15" xfId="0" applyFont="1" applyFill="1" applyBorder="1" applyAlignment="1">
      <alignment wrapText="1"/>
    </xf>
    <xf numFmtId="0" fontId="2" fillId="3" borderId="15" xfId="0" applyFont="1" applyFill="1" applyBorder="1" applyAlignment="1">
      <alignment wrapText="1"/>
    </xf>
    <xf numFmtId="3" fontId="2" fillId="10" borderId="15" xfId="0" applyNumberFormat="1" applyFont="1" applyFill="1" applyBorder="1" applyAlignment="1" applyProtection="1">
      <alignment horizontal="center"/>
      <protection locked="0"/>
    </xf>
    <xf numFmtId="0" fontId="2" fillId="3" borderId="5" xfId="0" applyFont="1" applyFill="1" applyBorder="1"/>
    <xf numFmtId="0" fontId="2" fillId="3" borderId="19" xfId="0" applyFont="1" applyFill="1" applyBorder="1" applyAlignment="1">
      <alignment wrapText="1"/>
    </xf>
    <xf numFmtId="3" fontId="2" fillId="3" borderId="20" xfId="0" applyNumberFormat="1" applyFont="1" applyFill="1" applyBorder="1" applyAlignment="1">
      <alignment horizontal="right"/>
    </xf>
    <xf numFmtId="3" fontId="2" fillId="3" borderId="4" xfId="0" applyNumberFormat="1" applyFont="1" applyFill="1" applyBorder="1"/>
    <xf numFmtId="0" fontId="3" fillId="0" borderId="31" xfId="0" applyFont="1" applyBorder="1"/>
    <xf numFmtId="0" fontId="10" fillId="2" borderId="19" xfId="0" applyFont="1" applyFill="1" applyBorder="1" applyAlignment="1">
      <alignment wrapText="1"/>
    </xf>
    <xf numFmtId="1" fontId="2" fillId="14" borderId="1" xfId="1" applyNumberFormat="1" applyFont="1" applyFill="1" applyBorder="1" applyAlignment="1" applyProtection="1">
      <alignment horizontal="center" vertical="center"/>
      <protection locked="0"/>
    </xf>
    <xf numFmtId="164" fontId="2" fillId="3" borderId="2" xfId="0" applyNumberFormat="1" applyFont="1" applyFill="1" applyBorder="1" applyAlignment="1">
      <alignment horizontal="left"/>
    </xf>
    <xf numFmtId="4" fontId="2" fillId="11" borderId="55" xfId="0" applyNumberFormat="1" applyFont="1" applyFill="1" applyBorder="1" applyAlignment="1">
      <alignment horizontal="center"/>
    </xf>
    <xf numFmtId="43" fontId="2" fillId="3" borderId="15" xfId="3" applyFont="1" applyFill="1" applyBorder="1" applyAlignment="1" applyProtection="1">
      <alignment horizontal="center"/>
    </xf>
    <xf numFmtId="0" fontId="2" fillId="3" borderId="66" xfId="0" applyFont="1" applyFill="1" applyBorder="1"/>
    <xf numFmtId="0" fontId="2" fillId="3" borderId="62" xfId="0" applyFont="1" applyFill="1" applyBorder="1" applyAlignment="1">
      <alignment horizontal="center"/>
    </xf>
    <xf numFmtId="4" fontId="2" fillId="11" borderId="62" xfId="0" applyNumberFormat="1" applyFont="1" applyFill="1" applyBorder="1" applyAlignment="1">
      <alignment horizontal="center"/>
    </xf>
    <xf numFmtId="3" fontId="2" fillId="3" borderId="62" xfId="0" applyNumberFormat="1" applyFont="1" applyFill="1" applyBorder="1" applyAlignment="1">
      <alignment horizontal="center"/>
    </xf>
    <xf numFmtId="0" fontId="2" fillId="0" borderId="0" xfId="0" applyFont="1" applyAlignment="1">
      <alignment horizontal="center" vertical="center"/>
    </xf>
    <xf numFmtId="0" fontId="2" fillId="0" borderId="32" xfId="0" applyFont="1" applyBorder="1"/>
    <xf numFmtId="0" fontId="2" fillId="0" borderId="28" xfId="0" applyFont="1" applyBorder="1"/>
    <xf numFmtId="0" fontId="2" fillId="0" borderId="24" xfId="0" applyFont="1" applyBorder="1"/>
    <xf numFmtId="0" fontId="2" fillId="0" borderId="42" xfId="0" applyFont="1" applyBorder="1"/>
    <xf numFmtId="0" fontId="2" fillId="0" borderId="44" xfId="0" applyFont="1" applyBorder="1"/>
    <xf numFmtId="0" fontId="2" fillId="0" borderId="48" xfId="0" applyFont="1" applyBorder="1"/>
    <xf numFmtId="0" fontId="2" fillId="0" borderId="52" xfId="0" applyFont="1" applyBorder="1"/>
    <xf numFmtId="0" fontId="4" fillId="0" borderId="33" xfId="4" applyBorder="1"/>
    <xf numFmtId="0" fontId="2" fillId="0" borderId="33" xfId="0" applyFont="1" applyBorder="1"/>
    <xf numFmtId="0" fontId="10" fillId="2" borderId="14" xfId="0" applyFont="1" applyFill="1" applyBorder="1" applyAlignment="1">
      <alignment horizontal="center"/>
    </xf>
    <xf numFmtId="0" fontId="10" fillId="2" borderId="10" xfId="0" applyFont="1" applyFill="1" applyBorder="1" applyAlignment="1">
      <alignment horizontal="center" wrapText="1"/>
    </xf>
    <xf numFmtId="0" fontId="10" fillId="2" borderId="17" xfId="0" applyFont="1" applyFill="1" applyBorder="1" applyAlignment="1">
      <alignment horizontal="center"/>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2" fillId="0" borderId="0" xfId="0" quotePrefix="1" applyFont="1" applyAlignment="1">
      <alignment horizontal="center" vertical="center"/>
    </xf>
    <xf numFmtId="0" fontId="10" fillId="2" borderId="12" xfId="0" applyFont="1" applyFill="1" applyBorder="1" applyAlignment="1">
      <alignment horizontal="center" vertical="center" wrapText="1"/>
    </xf>
    <xf numFmtId="0" fontId="2" fillId="0" borderId="0" xfId="0" applyFont="1" applyAlignment="1" applyProtection="1">
      <alignment horizontal="center" vertical="center"/>
      <protection locked="0"/>
    </xf>
    <xf numFmtId="165" fontId="2" fillId="3" borderId="15" xfId="1" applyNumberFormat="1" applyFont="1" applyFill="1" applyBorder="1" applyAlignment="1" applyProtection="1">
      <alignment horizontal="right"/>
    </xf>
    <xf numFmtId="0" fontId="2" fillId="3" borderId="15" xfId="0" applyFont="1" applyFill="1" applyBorder="1" applyAlignment="1">
      <alignment horizontal="right"/>
    </xf>
    <xf numFmtId="3" fontId="2" fillId="3" borderId="21" xfId="0" applyNumberFormat="1" applyFont="1" applyFill="1" applyBorder="1"/>
    <xf numFmtId="165" fontId="2" fillId="3" borderId="21" xfId="0" applyNumberFormat="1" applyFont="1" applyFill="1" applyBorder="1"/>
    <xf numFmtId="0" fontId="10" fillId="2" borderId="22"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22" xfId="0" quotePrefix="1" applyFont="1" applyFill="1" applyBorder="1" applyAlignment="1">
      <alignment horizontal="center" vertical="center"/>
    </xf>
    <xf numFmtId="0" fontId="2" fillId="3" borderId="67" xfId="0" applyFont="1" applyFill="1" applyBorder="1"/>
    <xf numFmtId="0" fontId="10" fillId="2" borderId="15" xfId="0" applyFont="1" applyFill="1" applyBorder="1" applyAlignment="1">
      <alignment horizontal="left" vertical="center"/>
    </xf>
    <xf numFmtId="0" fontId="2" fillId="0" borderId="18" xfId="0" applyFont="1" applyBorder="1" applyAlignment="1">
      <alignment horizontal="center" vertical="center" wrapText="1"/>
    </xf>
    <xf numFmtId="164" fontId="2" fillId="3" borderId="15" xfId="1" applyNumberFormat="1" applyFont="1" applyFill="1" applyBorder="1" applyAlignment="1">
      <alignment horizontal="right"/>
    </xf>
    <xf numFmtId="43" fontId="2" fillId="3" borderId="15" xfId="3" applyFont="1" applyFill="1" applyBorder="1" applyAlignment="1">
      <alignment horizontal="right"/>
    </xf>
    <xf numFmtId="4" fontId="2" fillId="11" borderId="15" xfId="0" applyNumberFormat="1" applyFont="1" applyFill="1" applyBorder="1" applyAlignment="1">
      <alignment horizontal="right"/>
    </xf>
    <xf numFmtId="4" fontId="2" fillId="11" borderId="12" xfId="0" applyNumberFormat="1" applyFont="1" applyFill="1" applyBorder="1" applyAlignment="1">
      <alignment horizontal="center"/>
    </xf>
    <xf numFmtId="164" fontId="2" fillId="3" borderId="68" xfId="0" applyNumberFormat="1" applyFont="1" applyFill="1" applyBorder="1" applyAlignment="1">
      <alignment horizontal="left"/>
    </xf>
    <xf numFmtId="0" fontId="10" fillId="2" borderId="0" xfId="0" applyFont="1" applyFill="1" applyAlignment="1">
      <alignment horizontal="center" wrapText="1"/>
    </xf>
    <xf numFmtId="0" fontId="10" fillId="2" borderId="0" xfId="0" applyFont="1" applyFill="1" applyAlignment="1">
      <alignment wrapText="1"/>
    </xf>
    <xf numFmtId="3" fontId="5" fillId="10" borderId="1" xfId="0" applyNumberFormat="1" applyFont="1" applyFill="1" applyBorder="1" applyAlignment="1" applyProtection="1">
      <alignment horizontal="center"/>
      <protection locked="0"/>
    </xf>
    <xf numFmtId="0" fontId="22" fillId="3" borderId="3" xfId="0" applyFont="1" applyFill="1" applyBorder="1"/>
    <xf numFmtId="0" fontId="23" fillId="3" borderId="3" xfId="0" applyFont="1" applyFill="1" applyBorder="1"/>
    <xf numFmtId="3" fontId="23" fillId="3" borderId="14" xfId="0" applyNumberFormat="1" applyFont="1" applyFill="1" applyBorder="1" applyAlignment="1">
      <alignment horizontal="left"/>
    </xf>
    <xf numFmtId="0" fontId="10" fillId="2" borderId="22" xfId="0" quotePrefix="1" applyFont="1" applyFill="1" applyBorder="1" applyAlignment="1">
      <alignment horizontal="center" vertical="center" wrapText="1"/>
    </xf>
    <xf numFmtId="0" fontId="2" fillId="6" borderId="55" xfId="0" applyFont="1" applyFill="1" applyBorder="1" applyAlignment="1">
      <alignment horizontal="center"/>
    </xf>
    <xf numFmtId="0" fontId="2" fillId="3" borderId="69" xfId="0" applyFont="1" applyFill="1" applyBorder="1" applyAlignment="1">
      <alignment horizontal="right"/>
    </xf>
    <xf numFmtId="0" fontId="2" fillId="3" borderId="55" xfId="0" applyFont="1" applyFill="1" applyBorder="1" applyAlignment="1">
      <alignment horizontal="left"/>
    </xf>
    <xf numFmtId="4" fontId="2" fillId="11" borderId="69" xfId="0" applyNumberFormat="1" applyFont="1" applyFill="1" applyBorder="1" applyAlignment="1">
      <alignment horizontal="right"/>
    </xf>
    <xf numFmtId="43" fontId="6" fillId="11" borderId="70" xfId="3" applyFont="1" applyFill="1" applyBorder="1"/>
    <xf numFmtId="0" fontId="2" fillId="0" borderId="30" xfId="0" applyFont="1" applyBorder="1"/>
    <xf numFmtId="2" fontId="5" fillId="0" borderId="32" xfId="0" applyNumberFormat="1" applyFont="1" applyBorder="1"/>
    <xf numFmtId="43" fontId="6" fillId="11" borderId="72" xfId="3" applyFont="1" applyFill="1" applyBorder="1"/>
    <xf numFmtId="0" fontId="2" fillId="0" borderId="23" xfId="0" applyFont="1" applyBorder="1" applyAlignment="1">
      <alignment horizontal="right"/>
    </xf>
    <xf numFmtId="0" fontId="2" fillId="0" borderId="47" xfId="0" applyFont="1" applyBorder="1" applyAlignment="1">
      <alignment horizontal="right"/>
    </xf>
    <xf numFmtId="0" fontId="2" fillId="6" borderId="11" xfId="0" applyFont="1" applyFill="1" applyBorder="1" applyAlignment="1">
      <alignment horizontal="center"/>
    </xf>
    <xf numFmtId="0" fontId="2" fillId="6" borderId="8" xfId="0" applyFont="1" applyFill="1" applyBorder="1" applyAlignment="1">
      <alignment horizontal="center"/>
    </xf>
    <xf numFmtId="43" fontId="5" fillId="0" borderId="35" xfId="3" applyFont="1" applyBorder="1"/>
    <xf numFmtId="43" fontId="6" fillId="11" borderId="36" xfId="3" applyFont="1" applyFill="1" applyBorder="1"/>
    <xf numFmtId="0" fontId="3" fillId="8" borderId="37" xfId="0" quotePrefix="1" applyFont="1" applyFill="1" applyBorder="1" applyAlignment="1">
      <alignment horizontal="left"/>
    </xf>
    <xf numFmtId="0" fontId="2" fillId="0" borderId="73" xfId="0" applyFont="1" applyBorder="1"/>
    <xf numFmtId="0" fontId="26" fillId="3" borderId="13" xfId="0" applyFont="1" applyFill="1" applyBorder="1"/>
    <xf numFmtId="0" fontId="26" fillId="6" borderId="1" xfId="0" applyFont="1" applyFill="1" applyBorder="1" applyAlignment="1">
      <alignment horizontal="center"/>
    </xf>
    <xf numFmtId="4" fontId="26" fillId="11" borderId="7" xfId="0" applyNumberFormat="1" applyFont="1" applyFill="1" applyBorder="1" applyAlignment="1">
      <alignment horizontal="center"/>
    </xf>
    <xf numFmtId="0" fontId="5" fillId="16" borderId="74" xfId="0" applyFont="1" applyFill="1" applyBorder="1"/>
    <xf numFmtId="0" fontId="12" fillId="16" borderId="74" xfId="0" applyFont="1" applyFill="1" applyBorder="1"/>
    <xf numFmtId="0" fontId="13" fillId="16" borderId="74" xfId="0" applyFont="1" applyFill="1" applyBorder="1"/>
    <xf numFmtId="0" fontId="2" fillId="0" borderId="75" xfId="0" applyFont="1" applyBorder="1"/>
    <xf numFmtId="0" fontId="2" fillId="16" borderId="76" xfId="0" applyFont="1" applyFill="1" applyBorder="1"/>
    <xf numFmtId="0" fontId="2" fillId="16" borderId="77" xfId="0" applyFont="1" applyFill="1" applyBorder="1"/>
    <xf numFmtId="43" fontId="2" fillId="0" borderId="79" xfId="3" applyFont="1" applyBorder="1"/>
    <xf numFmtId="0" fontId="2" fillId="0" borderId="78" xfId="0" applyFont="1" applyBorder="1"/>
    <xf numFmtId="0" fontId="2" fillId="0" borderId="79" xfId="0" applyFont="1" applyBorder="1"/>
    <xf numFmtId="0" fontId="2" fillId="0" borderId="80" xfId="0" applyFont="1" applyBorder="1"/>
    <xf numFmtId="9" fontId="2" fillId="3" borderId="8" xfId="0" applyNumberFormat="1" applyFont="1" applyFill="1" applyBorder="1" applyAlignment="1" applyProtection="1">
      <alignment horizontal="center"/>
      <protection locked="0"/>
    </xf>
    <xf numFmtId="166" fontId="2" fillId="3" borderId="8" xfId="0" applyNumberFormat="1" applyFont="1" applyFill="1" applyBorder="1" applyAlignment="1" applyProtection="1">
      <alignment horizontal="left"/>
      <protection locked="0"/>
    </xf>
    <xf numFmtId="0" fontId="2" fillId="0" borderId="81" xfId="0" applyFont="1" applyBorder="1"/>
    <xf numFmtId="9" fontId="2" fillId="14" borderId="7" xfId="1" applyFont="1" applyFill="1" applyBorder="1" applyAlignment="1" applyProtection="1">
      <alignment horizontal="center" vertical="center"/>
      <protection locked="0"/>
    </xf>
    <xf numFmtId="0" fontId="2" fillId="16" borderId="78" xfId="0" applyFont="1" applyFill="1" applyBorder="1"/>
    <xf numFmtId="0" fontId="2" fillId="16" borderId="78" xfId="0" applyFont="1" applyFill="1" applyBorder="1" applyAlignment="1">
      <alignment horizontal="center"/>
    </xf>
    <xf numFmtId="0" fontId="2" fillId="0" borderId="78" xfId="0" applyFont="1" applyBorder="1" applyAlignment="1">
      <alignment horizontal="center"/>
    </xf>
    <xf numFmtId="0" fontId="0" fillId="16" borderId="78" xfId="0" applyFill="1" applyBorder="1"/>
    <xf numFmtId="0" fontId="0" fillId="0" borderId="78" xfId="0" applyBorder="1"/>
    <xf numFmtId="43" fontId="2" fillId="10" borderId="49" xfId="3" applyFont="1" applyFill="1" applyBorder="1" applyProtection="1">
      <protection locked="0"/>
    </xf>
    <xf numFmtId="43" fontId="2" fillId="10" borderId="50" xfId="3" applyFont="1" applyFill="1" applyBorder="1" applyProtection="1">
      <protection locked="0"/>
    </xf>
    <xf numFmtId="43" fontId="2" fillId="10" borderId="71" xfId="3" applyFont="1" applyFill="1" applyBorder="1" applyProtection="1">
      <protection locked="0"/>
    </xf>
    <xf numFmtId="43" fontId="5" fillId="10" borderId="50" xfId="3" applyFont="1" applyFill="1" applyBorder="1" applyProtection="1">
      <protection locked="0"/>
    </xf>
    <xf numFmtId="3" fontId="2" fillId="3" borderId="12" xfId="0" applyNumberFormat="1" applyFont="1" applyFill="1" applyBorder="1" applyAlignment="1">
      <alignment horizontal="center"/>
    </xf>
    <xf numFmtId="164" fontId="26" fillId="3" borderId="11" xfId="0" applyNumberFormat="1" applyFont="1" applyFill="1" applyBorder="1" applyAlignment="1">
      <alignment horizontal="center"/>
    </xf>
    <xf numFmtId="164" fontId="2" fillId="3" borderId="11" xfId="0" applyNumberFormat="1" applyFont="1" applyFill="1" applyBorder="1" applyAlignment="1">
      <alignment horizontal="center"/>
    </xf>
    <xf numFmtId="3" fontId="2" fillId="13" borderId="2" xfId="0" applyNumberFormat="1" applyFont="1" applyFill="1" applyBorder="1" applyAlignment="1" applyProtection="1">
      <alignment horizontal="center"/>
      <protection locked="0"/>
    </xf>
    <xf numFmtId="1" fontId="2" fillId="14" borderId="1" xfId="1" applyNumberFormat="1" applyFont="1" applyFill="1" applyBorder="1" applyAlignment="1" applyProtection="1">
      <alignment horizontal="center" vertical="center"/>
    </xf>
    <xf numFmtId="3" fontId="2" fillId="10" borderId="14" xfId="0" applyNumberFormat="1" applyFont="1" applyFill="1" applyBorder="1" applyAlignment="1" applyProtection="1">
      <alignment horizontal="center"/>
      <protection locked="0"/>
    </xf>
    <xf numFmtId="168" fontId="2" fillId="3" borderId="1" xfId="0" applyNumberFormat="1" applyFont="1" applyFill="1" applyBorder="1" applyAlignment="1">
      <alignment horizontal="center"/>
    </xf>
    <xf numFmtId="166" fontId="2" fillId="3" borderId="1" xfId="0" applyNumberFormat="1" applyFont="1" applyFill="1" applyBorder="1" applyAlignment="1">
      <alignment horizontal="center"/>
    </xf>
    <xf numFmtId="0" fontId="2" fillId="0" borderId="0" xfId="0" applyFont="1" applyAlignment="1">
      <alignment horizontal="left"/>
    </xf>
    <xf numFmtId="0" fontId="26" fillId="0" borderId="0" xfId="0" applyFont="1"/>
    <xf numFmtId="9" fontId="2" fillId="14" borderId="11" xfId="1" applyFont="1" applyFill="1" applyBorder="1" applyAlignment="1" applyProtection="1">
      <alignment horizontal="center" vertical="center"/>
    </xf>
    <xf numFmtId="9" fontId="2" fillId="14" borderId="12" xfId="1" applyFont="1" applyFill="1" applyBorder="1" applyAlignment="1" applyProtection="1">
      <alignment horizontal="center" vertical="center"/>
    </xf>
    <xf numFmtId="9" fontId="2" fillId="14" borderId="1" xfId="1" applyFont="1" applyFill="1" applyBorder="1" applyAlignment="1" applyProtection="1">
      <alignment horizontal="center" vertical="center"/>
    </xf>
    <xf numFmtId="9" fontId="2" fillId="14" borderId="14" xfId="1" applyFont="1" applyFill="1" applyBorder="1" applyAlignment="1" applyProtection="1">
      <alignment horizontal="center" vertical="center"/>
    </xf>
    <xf numFmtId="165" fontId="2" fillId="14" borderId="1" xfId="1" applyNumberFormat="1" applyFont="1" applyFill="1" applyBorder="1" applyAlignment="1" applyProtection="1">
      <alignment horizontal="center" vertical="center"/>
    </xf>
    <xf numFmtId="3" fontId="2" fillId="14" borderId="1" xfId="0" applyNumberFormat="1" applyFont="1" applyFill="1" applyBorder="1" applyAlignment="1">
      <alignment horizontal="right" indent="1"/>
    </xf>
    <xf numFmtId="3" fontId="2" fillId="14" borderId="8" xfId="0" applyNumberFormat="1" applyFont="1" applyFill="1" applyBorder="1" applyAlignment="1">
      <alignment horizontal="right" indent="1"/>
    </xf>
    <xf numFmtId="0" fontId="2" fillId="10" borderId="0" xfId="0" applyFont="1" applyFill="1" applyAlignment="1" applyProtection="1">
      <alignment horizontal="center"/>
      <protection locked="0"/>
    </xf>
    <xf numFmtId="0" fontId="10" fillId="12" borderId="35" xfId="0" applyFont="1" applyFill="1" applyBorder="1" applyAlignment="1">
      <alignment horizontal="center"/>
    </xf>
    <xf numFmtId="0" fontId="10" fillId="12" borderId="36" xfId="0" applyFont="1" applyFill="1" applyBorder="1" applyAlignment="1">
      <alignment horizontal="center"/>
    </xf>
    <xf numFmtId="0" fontId="10" fillId="12" borderId="37" xfId="0" applyFont="1" applyFill="1" applyBorder="1" applyAlignment="1">
      <alignment horizontal="center"/>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5" xfId="0" applyFont="1" applyBorder="1" applyAlignment="1">
      <alignment horizontal="left" wrapText="1"/>
    </xf>
    <xf numFmtId="0" fontId="2" fillId="0" borderId="36" xfId="0" applyFont="1" applyBorder="1" applyAlignment="1">
      <alignment horizontal="left" wrapText="1"/>
    </xf>
    <xf numFmtId="0" fontId="2" fillId="0" borderId="37" xfId="0" applyFont="1" applyBorder="1" applyAlignment="1">
      <alignment horizontal="left" wrapText="1"/>
    </xf>
    <xf numFmtId="0" fontId="8" fillId="12" borderId="30" xfId="0" applyFont="1" applyFill="1" applyBorder="1" applyAlignment="1">
      <alignment horizontal="center" vertical="center" readingOrder="1"/>
    </xf>
    <xf numFmtId="0" fontId="8" fillId="12" borderId="34" xfId="0" applyFont="1" applyFill="1" applyBorder="1" applyAlignment="1">
      <alignment horizontal="center" vertical="center" readingOrder="1"/>
    </xf>
    <xf numFmtId="0" fontId="8" fillId="12" borderId="25" xfId="0" applyFont="1" applyFill="1" applyBorder="1" applyAlignment="1">
      <alignment horizontal="center" vertical="center"/>
    </xf>
    <xf numFmtId="0" fontId="8" fillId="12" borderId="28" xfId="0" applyFont="1" applyFill="1" applyBorder="1" applyAlignment="1">
      <alignment horizontal="center" vertical="center"/>
    </xf>
    <xf numFmtId="0" fontId="8" fillId="12" borderId="26" xfId="0" applyFont="1" applyFill="1" applyBorder="1" applyAlignment="1">
      <alignment horizontal="center" vertical="center"/>
    </xf>
    <xf numFmtId="0" fontId="8" fillId="12" borderId="24" xfId="0" applyFont="1" applyFill="1" applyBorder="1" applyAlignment="1">
      <alignment horizontal="center" vertical="center"/>
    </xf>
    <xf numFmtId="0" fontId="8" fillId="12" borderId="26" xfId="0" applyFont="1" applyFill="1" applyBorder="1" applyAlignment="1">
      <alignment horizontal="center" vertical="center" wrapText="1"/>
    </xf>
    <xf numFmtId="0" fontId="8" fillId="12" borderId="27" xfId="0" applyFont="1" applyFill="1" applyBorder="1" applyAlignment="1">
      <alignment horizontal="center" vertical="center" wrapText="1"/>
    </xf>
    <xf numFmtId="0" fontId="8" fillId="12" borderId="29" xfId="0" applyFont="1" applyFill="1" applyBorder="1" applyAlignment="1">
      <alignment horizontal="center" vertical="center" wrapText="1"/>
    </xf>
    <xf numFmtId="43" fontId="8" fillId="12" borderId="25" xfId="3" applyFont="1" applyFill="1" applyBorder="1" applyAlignment="1">
      <alignment horizontal="center" vertical="center" wrapText="1"/>
    </xf>
    <xf numFmtId="43" fontId="8" fillId="12" borderId="27" xfId="3" applyFont="1" applyFill="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0" xfId="0" applyFont="1" applyAlignment="1">
      <alignment horizontal="center" vertical="center" wrapText="1"/>
    </xf>
    <xf numFmtId="0" fontId="5" fillId="0" borderId="43" xfId="0" applyFont="1" applyBorder="1" applyAlignment="1">
      <alignment horizontal="center" vertical="center" wrapText="1"/>
    </xf>
    <xf numFmtId="0" fontId="6" fillId="0" borderId="35" xfId="0" applyFont="1" applyBorder="1" applyAlignment="1">
      <alignment horizontal="center"/>
    </xf>
    <xf numFmtId="0" fontId="6" fillId="0" borderId="36" xfId="0" applyFont="1" applyBorder="1" applyAlignment="1">
      <alignment horizontal="center"/>
    </xf>
    <xf numFmtId="0" fontId="6" fillId="0" borderId="37" xfId="0" applyFont="1" applyBorder="1" applyAlignment="1">
      <alignment horizontal="center"/>
    </xf>
    <xf numFmtId="0" fontId="7" fillId="0" borderId="38" xfId="0" applyFont="1" applyBorder="1" applyAlignment="1">
      <alignment horizontal="center"/>
    </xf>
    <xf numFmtId="43" fontId="9" fillId="10" borderId="0" xfId="3" applyFont="1" applyFill="1" applyBorder="1" applyAlignment="1">
      <alignment horizontal="center" vertical="center"/>
    </xf>
    <xf numFmtId="43" fontId="9" fillId="10" borderId="45" xfId="3" applyFont="1" applyFill="1" applyBorder="1" applyAlignment="1">
      <alignment horizontal="center" vertical="center"/>
    </xf>
    <xf numFmtId="43" fontId="9" fillId="11" borderId="0" xfId="3" applyFont="1" applyFill="1" applyBorder="1" applyAlignment="1">
      <alignment horizontal="center" vertical="center"/>
    </xf>
    <xf numFmtId="43" fontId="9" fillId="11" borderId="45" xfId="3" applyFont="1" applyFill="1" applyBorder="1" applyAlignment="1">
      <alignment horizontal="center" vertical="center"/>
    </xf>
    <xf numFmtId="0" fontId="8" fillId="12" borderId="0" xfId="0" applyFont="1" applyFill="1" applyAlignment="1">
      <alignment horizontal="left" vertical="top"/>
    </xf>
    <xf numFmtId="0" fontId="3" fillId="8" borderId="0" xfId="0" quotePrefix="1" applyFont="1" applyFill="1" applyAlignment="1">
      <alignment horizontal="left" wrapText="1"/>
    </xf>
    <xf numFmtId="0" fontId="10" fillId="9" borderId="35" xfId="0" applyFont="1" applyFill="1" applyBorder="1" applyAlignment="1">
      <alignment horizontal="center"/>
    </xf>
    <xf numFmtId="0" fontId="10" fillId="9" borderId="36" xfId="0" applyFont="1" applyFill="1" applyBorder="1" applyAlignment="1">
      <alignment horizontal="center"/>
    </xf>
    <xf numFmtId="0" fontId="10" fillId="9" borderId="37" xfId="0" applyFont="1" applyFill="1" applyBorder="1" applyAlignment="1">
      <alignment horizontal="center"/>
    </xf>
    <xf numFmtId="0" fontId="7" fillId="0" borderId="45" xfId="0" applyFont="1" applyBorder="1" applyAlignment="1">
      <alignment horizont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0" xfId="0" applyFont="1" applyAlignment="1">
      <alignment horizontal="center" vertical="center"/>
    </xf>
    <xf numFmtId="0" fontId="2" fillId="0" borderId="43" xfId="0" applyFont="1" applyBorder="1" applyAlignment="1">
      <alignment horizontal="center" vertical="center"/>
    </xf>
    <xf numFmtId="43" fontId="9" fillId="10" borderId="8" xfId="3" applyFont="1" applyFill="1" applyBorder="1" applyAlignment="1">
      <alignment horizontal="center" vertical="center"/>
    </xf>
    <xf numFmtId="43" fontId="9" fillId="10" borderId="55" xfId="3" applyFont="1" applyFill="1" applyBorder="1" applyAlignment="1">
      <alignment horizontal="center" vertical="center"/>
    </xf>
    <xf numFmtId="43" fontId="9" fillId="10" borderId="56" xfId="3" applyFont="1" applyFill="1" applyBorder="1" applyAlignment="1">
      <alignment horizontal="center" vertical="center"/>
    </xf>
    <xf numFmtId="43" fontId="9" fillId="11" borderId="8" xfId="3" applyFont="1" applyFill="1" applyBorder="1" applyAlignment="1">
      <alignment horizontal="center" vertical="center"/>
    </xf>
    <xf numFmtId="43" fontId="9" fillId="11" borderId="55" xfId="3" applyFont="1" applyFill="1" applyBorder="1" applyAlignment="1">
      <alignment horizontal="center" vertical="center"/>
    </xf>
    <xf numFmtId="43" fontId="9" fillId="11" borderId="56" xfId="3" applyFont="1" applyFill="1" applyBorder="1" applyAlignment="1">
      <alignment horizontal="center" vertical="center"/>
    </xf>
    <xf numFmtId="0" fontId="3" fillId="8" borderId="62" xfId="0" applyFont="1" applyFill="1" applyBorder="1" applyAlignment="1">
      <alignment horizontal="center" vertical="center"/>
    </xf>
    <xf numFmtId="0" fontId="3" fillId="8" borderId="65" xfId="0" applyFont="1" applyFill="1" applyBorder="1" applyAlignment="1">
      <alignment horizontal="center" vertical="center"/>
    </xf>
    <xf numFmtId="0" fontId="6" fillId="8" borderId="0" xfId="0" quotePrefix="1" applyFont="1" applyFill="1" applyAlignment="1">
      <alignment horizontal="left"/>
    </xf>
    <xf numFmtId="0" fontId="10" fillId="2" borderId="14" xfId="0" applyFont="1" applyFill="1" applyBorder="1" applyAlignment="1">
      <alignment horizontal="center" wrapText="1"/>
    </xf>
    <xf numFmtId="0" fontId="10" fillId="2" borderId="9" xfId="0" applyFont="1" applyFill="1" applyBorder="1" applyAlignment="1">
      <alignment horizontal="center" wrapText="1"/>
    </xf>
    <xf numFmtId="0" fontId="10" fillId="2" borderId="3" xfId="0" applyFont="1" applyFill="1" applyBorder="1" applyAlignment="1">
      <alignment horizontal="center" wrapText="1"/>
    </xf>
    <xf numFmtId="0" fontId="10" fillId="2" borderId="62" xfId="0" applyFont="1" applyFill="1" applyBorder="1" applyAlignment="1">
      <alignment horizontal="center"/>
    </xf>
    <xf numFmtId="0" fontId="10" fillId="2" borderId="0" xfId="0" applyFont="1" applyFill="1" applyAlignment="1">
      <alignment horizontal="center"/>
    </xf>
    <xf numFmtId="0" fontId="5" fillId="14" borderId="0" xfId="0" applyFont="1" applyFill="1" applyAlignment="1">
      <alignment horizontal="left" vertical="top" wrapText="1"/>
    </xf>
    <xf numFmtId="0" fontId="3" fillId="8" borderId="0" xfId="0" quotePrefix="1" applyFont="1" applyFill="1" applyAlignment="1">
      <alignment horizontal="left"/>
    </xf>
    <xf numFmtId="0" fontId="3" fillId="8" borderId="0" xfId="0" applyFont="1" applyFill="1" applyAlignment="1">
      <alignment horizontal="left"/>
    </xf>
  </cellXfs>
  <cellStyles count="5">
    <cellStyle name="Komma" xfId="3" builtinId="3"/>
    <cellStyle name="Link" xfId="4" builtinId="8"/>
    <cellStyle name="Prozent" xfId="1" builtinId="5"/>
    <cellStyle name="Standard" xfId="0" builtinId="0"/>
    <cellStyle name="Standard 4" xfId="2" xr:uid="{00000000-0005-0000-0000-000004000000}"/>
  </cellStyles>
  <dxfs count="287">
    <dxf>
      <fill>
        <patternFill>
          <bgColor theme="8" tint="0.59996337778862885"/>
        </patternFill>
      </fill>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protection locked="0" hidden="0"/>
    </dxf>
    <dxf>
      <font>
        <b val="0"/>
        <i val="0"/>
        <strike val="0"/>
        <condense val="0"/>
        <extend val="0"/>
        <outline val="0"/>
        <shadow val="0"/>
        <u val="none"/>
        <vertAlign val="baseline"/>
        <sz val="10"/>
        <color theme="1"/>
        <name val="Arial"/>
        <scheme val="none"/>
      </font>
      <protection locked="1" hidden="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top style="thin">
          <color theme="4" tint="0.39997558519241921"/>
        </top>
        <bottom/>
      </border>
    </dxf>
    <dxf>
      <font>
        <strike val="0"/>
        <outline val="0"/>
        <shadow val="0"/>
        <u val="none"/>
        <vertAlign val="baseline"/>
        <sz val="10"/>
        <name val="Arial"/>
        <scheme val="none"/>
      </font>
      <numFmt numFmtId="3" formatCode="#,##0"/>
      <alignment horizontal="right" vertical="bottom" textRotation="0" wrapText="0" indent="0" justifyLastLine="0" shrinkToFit="0" readingOrder="0"/>
      <border diagonalUp="0" diagonalDown="0">
        <left style="thin">
          <color theme="4" tint="0.39997558519241921"/>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165" formatCode="0.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165" formatCode="0.0%"/>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4" tint="0.39997558519241921"/>
        </top>
      </border>
    </dxf>
    <dxf>
      <font>
        <strike val="0"/>
        <outline val="0"/>
        <shadow val="0"/>
        <sz val="10"/>
        <name val="Arial"/>
        <scheme val="none"/>
      </font>
      <protection locked="0" hidden="0"/>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sz val="10"/>
        <name val="Arial"/>
        <scheme val="none"/>
      </font>
      <protection locked="0" hidden="0"/>
    </dxf>
    <dxf>
      <border outline="0">
        <bottom style="thin">
          <color theme="4" tint="0.39997558519241921"/>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indent="0" justifyLastLine="0" shrinkToFit="0" readingOrder="0"/>
      <border diagonalUp="0" diagonalDown="0" outline="0">
        <left style="thin">
          <color theme="4" tint="0.39997558519241921"/>
        </left>
        <right style="thin">
          <color theme="4" tint="0.39997558519241921"/>
        </right>
        <top/>
        <bottom/>
      </border>
      <protection locked="0" hidden="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border outline="0">
        <left style="thin">
          <color theme="4" tint="0.39997558519241921"/>
        </left>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left style="thin">
          <color theme="4" tint="0.39997558519241921"/>
        </left>
      </border>
    </dxf>
    <dxf>
      <font>
        <strike val="0"/>
        <outline val="0"/>
        <shadow val="0"/>
        <sz val="10"/>
        <name val="Arial"/>
        <scheme val="none"/>
      </font>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166" formatCode="0\ &quot;km&quo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numFmt numFmtId="166" formatCode="0\ &quot;km&quo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1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fill>
        <patternFill patternType="solid">
          <fgColor indexed="64"/>
          <bgColor theme="7"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sz val="10"/>
        <name val="Arial"/>
        <scheme val="none"/>
      </font>
      <numFmt numFmtId="4" formatCode="#,##0.00"/>
      <fill>
        <patternFill patternType="solid">
          <fgColor indexed="64"/>
          <bgColor theme="9"/>
        </patternFill>
      </fill>
      <alignment horizontal="center" textRotation="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sz val="10"/>
        <name val="Arial"/>
        <scheme val="none"/>
      </font>
      <numFmt numFmtId="164" formatCode="0.000"/>
      <fill>
        <patternFill patternType="solid">
          <fgColor indexed="64"/>
          <bgColor theme="8" tint="0.59999389629810485"/>
        </patternFill>
      </fill>
      <alignment horizontal="center" textRotation="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9" tint="0.59999389629810485"/>
        </patternFill>
      </fill>
      <alignment horizontal="right" vertical="bottom" textRotation="0" wrapText="0" indent="1"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strike val="0"/>
        <outline val="0"/>
        <shadow val="0"/>
        <sz val="10"/>
        <name val="Arial"/>
        <scheme val="none"/>
      </font>
      <numFmt numFmtId="3" formatCode="#,##0"/>
      <fill>
        <patternFill patternType="solid">
          <fgColor indexed="64"/>
          <bgColor theme="9" tint="0.59999389629810485"/>
        </patternFill>
      </fill>
      <alignment horizontal="right" vertical="bottom" textRotation="0" indent="1"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sz val="10"/>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vertical/>
        <horizontal/>
      </border>
      <protection locked="1" hidden="0"/>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fill>
        <patternFill>
          <fgColor indexed="64"/>
          <bgColor theme="8" tint="0.59999389629810485"/>
        </patternFill>
      </fill>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protection locked="0" hidden="0"/>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border>
    </dxf>
    <dxf>
      <border outline="0">
        <top style="thin">
          <color theme="8" tint="-0.249977111117893"/>
        </top>
      </border>
    </dxf>
    <dxf>
      <border outline="0">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alignment horizontal="general" vertical="bottom" textRotation="0" wrapText="0" indent="0" justifyLastLine="0" shrinkToFit="0" readingOrder="0"/>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4" formatCode="#,##0.0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numFmt numFmtId="4" formatCode="#,##0.0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border outline="0">
        <right style="thin">
          <color theme="8" tint="-0.249977111117893"/>
        </right>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rgb="FF002060"/>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theme="7" tint="0.59999389629810485"/>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u val="none"/>
        <sz val="10"/>
      </font>
    </dxf>
    <dxf>
      <border>
        <top style="thin">
          <color theme="8" tint="-0.249977111117893"/>
        </top>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0" hidden="0"/>
    </dxf>
    <dxf>
      <border diagonalUp="0" diagonalDown="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bottom style="thin">
          <color theme="8" tint="-0.249977111117893"/>
        </bottom>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1" hidden="0"/>
    </dxf>
  </dxfs>
  <tableStyles count="0" defaultTableStyle="TableStyleMedium2" defaultPivotStyle="PivotStyleLight16"/>
  <colors>
    <mruColors>
      <color rgb="FFF2C446"/>
      <color rgb="FF9154D8"/>
      <color rgb="FF38B1FD"/>
      <color rgb="FF004F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d/home/Users/terres/Seafile/CAFOGES%20und%20KLiOL/3%20-%20CAFOGES-Rohdaten/CaFoGes_20230419_mitRohDaten_Excel_2019v_Final_SchutzDeaktivieru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Hotel_stay_Scope_3" displayName="Hotel_stay_Scope_3" ref="B120:I175" totalsRowCount="1" headerRowDxfId="286" dataDxfId="284" totalsRowDxfId="282" headerRowBorderDxfId="285" tableBorderDxfId="283" totalsRowBorderDxfId="281">
  <tableColumns count="8">
    <tableColumn id="1" xr3:uid="{00000000-0010-0000-0000-000001000000}" name="Land" totalsRowLabel="Zwischenergebnis (Hotelübernachtung)" dataDxfId="280" totalsRowDxfId="279"/>
    <tableColumn id="2" xr3:uid="{00000000-0010-0000-0000-000002000000}" name="-" dataDxfId="278" totalsRowDxfId="277"/>
    <tableColumn id="3" xr3:uid="{00000000-0010-0000-0000-000003000000}" name="Anzahl der Übernachtungen" dataDxfId="276" totalsRowDxfId="275"/>
    <tableColumn id="4" xr3:uid="{00000000-0010-0000-0000-000004000000}" name="--" dataDxfId="274" totalsRowDxfId="273"/>
    <tableColumn id="6" xr3:uid="{00000000-0010-0000-0000-000006000000}" name="Emissionsfaktor _x000a_(kg CO2e / Nacht)" dataDxfId="272" totalsRowDxfId="271"/>
    <tableColumn id="5" xr3:uid="{00000000-0010-0000-0000-000005000000}" name="---" dataDxfId="270" totalsRowDxfId="269"/>
    <tableColumn id="7" xr3:uid="{00000000-0010-0000-0000-000007000000}" name="Ergebnis _x000a_(kg CO2e / Jahr)" totalsRowFunction="custom" dataDxfId="268" totalsRowDxfId="267">
      <calculatedColumnFormula>D121*F121</calculatedColumnFormula>
      <totalsRowFormula>SUM(H121:H174)</totalsRowFormula>
    </tableColumn>
    <tableColumn id="8" xr3:uid="{00000000-0010-0000-0000-000008000000}" name="Quelle: CAFOGES" dataDxfId="266" totalsRowDxfId="26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Landreisen_Scope3" displayName="Landreisen_Scope3" ref="B92:J96" totalsRowCount="1" headerRowDxfId="264" dataDxfId="262" totalsRowDxfId="260" headerRowBorderDxfId="263" tableBorderDxfId="261" totalsRowBorderDxfId="259">
  <tableColumns count="9">
    <tableColumn id="1" xr3:uid="{00000000-0010-0000-0100-000001000000}" name="Bahnreisen" totalsRowLabel="Summe (Bahnreisen)" dataDxfId="258" totalsRowDxfId="257"/>
    <tableColumn id="2" xr3:uid="{00000000-0010-0000-0100-000002000000}" name="Typ" dataDxfId="256" totalsRowDxfId="255"/>
    <tableColumn id="5" xr3:uid="{00000000-0010-0000-0100-000005000000}" name="Anzahl Reisen" totalsRowFunction="sum" dataDxfId="254" totalsRowDxfId="253"/>
    <tableColumn id="4" xr3:uid="{00000000-0010-0000-0100-000004000000}" name="Annahme Entfernung _x000a_(km / Jahr)" totalsRowFunction="custom" dataDxfId="252" totalsRowDxfId="251">
      <totalsRowFormula>SUBTOTAL(109,Landreisen_Scope3[Typ])</totalsRowFormula>
    </tableColumn>
    <tableColumn id="3" xr3:uid="{00000000-0010-0000-0100-000003000000}" name="Hin- &amp; Rückfahrt (km / Jahr)" totalsRowFunction="custom" dataDxfId="250" totalsRowDxfId="249">
      <calculatedColumnFormula>E93*2</calculatedColumnFormula>
      <totalsRowFormula>SUM(Landreisen_Scope3[Anzahl Reisen])</totalsRowFormula>
    </tableColumn>
    <tableColumn id="6" xr3:uid="{00000000-0010-0000-0100-000006000000}" name="Emissionsfaktor _x000a_(kg CO2e / Pkm) " dataDxfId="248" totalsRowDxfId="247"/>
    <tableColumn id="7" xr3:uid="{00000000-0010-0000-0100-000007000000}" name="Ergebnis _x000a_(kg CO2e / Jahr)" totalsRowFunction="sum" dataDxfId="246" totalsRowDxfId="245">
      <calculatedColumnFormula>Landreisen_Scope3[[#This Row],[Anzahl Reisen]]*Landreisen_Scope3[[#This Row],[Hin- &amp; Rückfahrt (km / Jahr)]]*Landreisen_Scope3[[#This Row],[Emissionsfaktor 
(kg CO2e / Pkm) ]]</calculatedColumnFormula>
    </tableColumn>
    <tableColumn id="8" xr3:uid="{00000000-0010-0000-0100-000008000000}" name="Annahmen zu Entfernungen (CAFOGES)" dataDxfId="244" totalsRowDxfId="243"/>
    <tableColumn id="9" xr3:uid="{00000000-0010-0000-0100-000009000000}" name="Quelle" dataDxfId="242" totalsRowDxfId="24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Flugreisen_Scop33" displayName="Flugreisen_Scop33" ref="B80:J87" totalsRowCount="1" headerRowDxfId="240" dataDxfId="238" totalsRowDxfId="236" headerRowBorderDxfId="239" tableBorderDxfId="237" totalsRowBorderDxfId="235">
  <tableColumns count="9">
    <tableColumn id="1" xr3:uid="{00000000-0010-0000-0200-000001000000}" name="Flugreisen" totalsRowLabel="Summe (Flugreisen)" dataDxfId="234" totalsRowDxfId="233"/>
    <tableColumn id="8" xr3:uid="{00000000-0010-0000-0200-000008000000}" name="Zielland" dataDxfId="232" totalsRowDxfId="231"/>
    <tableColumn id="2" xr3:uid="{00000000-0010-0000-0200-000002000000}" name="Anzahl Flüge" totalsRowFunction="sum" dataDxfId="230" totalsRowDxfId="229">
      <calculatedColumnFormula>SUMIFS(Tabelle37[Anzahl Flüge],Tabelle37[Region (Zuordnung)],Flugreisen_Scop33[[#This Row],[Zielland]])</calculatedColumnFormula>
    </tableColumn>
    <tableColumn id="6" xr3:uid="{00000000-0010-0000-0200-000006000000}" name="Annahme Entfernung _x000a_(km / Jahr)" dataDxfId="228" totalsRowDxfId="227"/>
    <tableColumn id="5" xr3:uid="{00000000-0010-0000-0200-000005000000}" name="Hin- &amp; Rückflug (km / Jahr)" totalsRowFunction="custom" dataDxfId="226" totalsRowDxfId="225">
      <calculatedColumnFormula>D81*Flugreisen_Scop33[[#This Row],[Annahme Entfernung 
(km / Jahr)]]*2</calculatedColumnFormula>
      <totalsRowFormula>SUM(Flugreisen_Scop33[Hin- &amp; Rückflug (km / Jahr)])</totalsRowFormula>
    </tableColumn>
    <tableColumn id="3" xr3:uid="{00000000-0010-0000-0200-000003000000}" name="Emissionsfaktor _x000a_(kg CO2e / Pkm) " dataDxfId="224" totalsRowDxfId="223"/>
    <tableColumn id="4" xr3:uid="{00000000-0010-0000-0200-000004000000}" name="Ergebnis _x000a_(kg CO2e / Jahr)" totalsRowFunction="sum" dataDxfId="222" totalsRowDxfId="221">
      <calculatedColumnFormula>+F81*G81</calculatedColumnFormula>
    </tableColumn>
    <tableColumn id="7" xr3:uid="{00000000-0010-0000-0200-000007000000}" name="Annahmen zu Entfernungen (CAFOGES)" dataDxfId="220" totalsRowDxfId="219"/>
    <tableColumn id="9" xr3:uid="{00000000-0010-0000-0200-000009000000}" name="Quelle" dataDxfId="218" totalsRowDxfId="21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e37" displayName="Tabelle37" ref="B20:E75" totalsRowShown="0">
  <autoFilter ref="B20:E75" xr:uid="{00000000-0009-0000-0100-000006000000}"/>
  <tableColumns count="4">
    <tableColumn id="1" xr3:uid="{00000000-0010-0000-0300-000001000000}" name="Zielland"/>
    <tableColumn id="4" xr3:uid="{00000000-0010-0000-0300-000004000000}" name="Region (Zuordnung)"/>
    <tableColumn id="3" xr3:uid="{00000000-0010-0000-0300-000003000000}" name="Anzahl Flüge"/>
    <tableColumn id="2" xr3:uid="{00000000-0010-0000-0300-000002000000}" name="Beschreibung"/>
  </tableColumns>
  <tableStyleInfo name="TableStyleLight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7" displayName="Tabelle7" ref="B108:J112" totalsRowCount="1" headerRowDxfId="216" headerRowBorderDxfId="215" tableBorderDxfId="214" totalsRowBorderDxfId="213">
  <autoFilter ref="B108:J111"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400-000001000000}" name="Landreisen" totalsRowLabel="Zwischenergebnis (Mobilität)" totalsRowDxfId="212"/>
    <tableColumn id="2" xr3:uid="{00000000-0010-0000-0400-000002000000}" name="-" dataDxfId="211" totalsRowDxfId="210"/>
    <tableColumn id="3" xr3:uid="{00000000-0010-0000-0400-000003000000}" name="Anzahl" dataDxfId="209" totalsRowDxfId="208"/>
    <tableColumn id="4" xr3:uid="{00000000-0010-0000-0400-000004000000}" name="Einheit" totalsRowDxfId="207"/>
    <tableColumn id="5" xr3:uid="{00000000-0010-0000-0400-000005000000}" name="--" dataDxfId="206" totalsRowDxfId="205"/>
    <tableColumn id="6" xr3:uid="{00000000-0010-0000-0400-000006000000}" name="---" dataDxfId="204" totalsRowDxfId="203"/>
    <tableColumn id="7" xr3:uid="{00000000-0010-0000-0400-000007000000}" name="Ergebnis _x000a_(kg CO2e / Jahr)" totalsRowFunction="sum" dataDxfId="202" totalsRowDxfId="201"/>
    <tableColumn id="8" xr3:uid="{00000000-0010-0000-0400-000008000000}" name="Annahmen zu Entfernungen" dataDxfId="200" totalsRowDxfId="199"/>
    <tableColumn id="9" xr3:uid="{00000000-0010-0000-0400-000009000000}" name="Quelle" dataDxfId="198" totalsRowDxfId="19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8" displayName="Tabelle8" ref="B101:J103" totalsRowCount="1" headerRowDxfId="196" headerRowBorderDxfId="195" tableBorderDxfId="194">
  <autoFilter ref="B101:J10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500-000001000000}" name="Landreisen" totalsRowLabel="Summe (Privat-PWK)" totalsRowDxfId="193"/>
    <tableColumn id="2" xr3:uid="{00000000-0010-0000-0500-000002000000}" name="Typ" totalsRowDxfId="192"/>
    <tableColumn id="3" xr3:uid="{00000000-0010-0000-0500-000003000000}" name="Gefahrene Kilometer" dataDxfId="191" totalsRowDxfId="190"/>
    <tableColumn id="4" xr3:uid="{00000000-0010-0000-0500-000004000000}" name="Annahme Entfernung _x000a_(km / Jahr)" dataDxfId="189" totalsRowDxfId="188"/>
    <tableColumn id="5" xr3:uid="{00000000-0010-0000-0500-000005000000}" name="Hin- &amp; Rückfahrt (km / Jahr)" dataDxfId="187" totalsRowDxfId="186"/>
    <tableColumn id="6" xr3:uid="{00000000-0010-0000-0500-000006000000}" name="Emissionsfaktor _x000a_(kg CO2e / Pkm) " totalsRowDxfId="185"/>
    <tableColumn id="7" xr3:uid="{00000000-0010-0000-0500-000007000000}" name="Ergebnis _x000a_(kg CO2e / Jahr)" totalsRowFunction="sum" dataDxfId="184" totalsRowDxfId="183">
      <calculatedColumnFormula>Tabelle8[Gefahrene Kilometer]*Tabelle8[Emissionsfaktor 
(kg CO2e / Pkm) ]</calculatedColumnFormula>
    </tableColumn>
    <tableColumn id="8" xr3:uid="{00000000-0010-0000-0500-000008000000}" name="Annahmen zu Entfernungen" totalsRowDxfId="182"/>
    <tableColumn id="9" xr3:uid="{00000000-0010-0000-0500-000009000000}" name="Quelle" totalsRowDxfId="181"/>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Geschäftsreisen_Gesamt" displayName="Geschäftsreisen_Gesamt" ref="B182:H187" totalsRowCount="1" headerRowDxfId="180" dataDxfId="178" headerRowBorderDxfId="179" tableBorderDxfId="177" totalsRowBorderDxfId="176">
  <autoFilter ref="B182:H186"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Bereich" totalsRowLabel="THG-Emissionen durch Geschäftsreisen (gesamt)" dataDxfId="175" totalsRowDxfId="174"/>
    <tableColumn id="2" xr3:uid="{00000000-0010-0000-0600-000002000000}" name="Beschreibung" dataDxfId="173" totalsRowDxfId="172"/>
    <tableColumn id="3" xr3:uid="{00000000-0010-0000-0600-000003000000}" name="-" dataDxfId="171" totalsRowDxfId="170"/>
    <tableColumn id="4" xr3:uid="{00000000-0010-0000-0600-000004000000}" name="--" dataDxfId="169" totalsRowDxfId="168"/>
    <tableColumn id="5" xr3:uid="{00000000-0010-0000-0600-000005000000}" name="---" dataDxfId="167" totalsRowDxfId="166"/>
    <tableColumn id="6" xr3:uid="{00000000-0010-0000-0600-000006000000}" name="----" dataDxfId="165" totalsRowDxfId="164"/>
    <tableColumn id="7" xr3:uid="{00000000-0010-0000-0600-000007000000}" name="Ergebnis _x000a_[kg CO2e / Jahr]" totalsRowFunction="sum" dataDxfId="163" totalsRowDxfId="16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MA_mobi_gesamt" displayName="MA_mobi_gesamt" ref="B71:F75" totalsRowCount="1" headerRowDxfId="161" dataDxfId="159" headerRowBorderDxfId="160" tableBorderDxfId="158" totalsRowBorderDxfId="157">
  <tableColumns count="5">
    <tableColumn id="5" xr3:uid="{00000000-0010-0000-0700-000005000000}" name="Verkehrsmittel" totalsRowLabel="Summe (Mitarbeitendenmobilität)" dataDxfId="156" totalsRowDxfId="155"/>
    <tableColumn id="1" xr3:uid="{00000000-0010-0000-0700-000001000000}" name="-" dataDxfId="154" totalsRowDxfId="153"/>
    <tableColumn id="2" xr3:uid="{00000000-0010-0000-0700-000002000000}" name="Gesamte Entfernung _x000a_(Hin-&amp; Zurück): Pkm / Jahr" totalsRowFunction="sum" dataDxfId="152" totalsRowDxfId="151">
      <calculatedColumnFormula>+G54</calculatedColumnFormula>
    </tableColumn>
    <tableColumn id="3" xr3:uid="{00000000-0010-0000-0700-000003000000}" name="Emissionsfaktor _x000a_(kg CO2e / Pkm )" dataDxfId="150" totalsRowDxfId="149"/>
    <tableColumn id="4" xr3:uid="{00000000-0010-0000-0700-000004000000}" name="Ergebnis _x000a_(kg CO2e / Jahr)" totalsRowFunction="sum" dataDxfId="148" totalsRowDxfId="147">
      <calculatedColumnFormula>IFERROR(MA_mobi_gesamt[[#This Row],[Gesamte Entfernung 
(Hin-&amp; Zurück): Pkm / Jahr]]*MA_mobi_gesamt[[#This Row],[Emissionsfaktor 
(kg CO2e / Pkm )]]/1000,"k.A.")</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Pendelverkehr" displayName="Pendelverkehr" ref="B38:K48" totalsRowCount="1" headerRowDxfId="146" dataDxfId="144" headerRowBorderDxfId="145" tableBorderDxfId="143" totalsRowBorderDxfId="142">
  <autoFilter ref="B38:K47"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10">
    <tableColumn id="1" xr3:uid="{00000000-0010-0000-0800-000001000000}" name="Entfernung Wohnort" totalsRowLabel="Ergebnis" dataDxfId="141" totalsRowDxfId="140"/>
    <tableColumn id="2" xr3:uid="{00000000-0010-0000-0800-000002000000}" name="Mitarbeitendenmobilität" dataDxfId="139" totalsRowDxfId="138"/>
    <tableColumn id="3" xr3:uid="{00000000-0010-0000-0800-000003000000}" name="Aufteilung in (%) der Mitarbeiter*innen" totalsRowFunction="sum" dataDxfId="137" totalsRowDxfId="136"/>
    <tableColumn id="4" xr3:uid="{00000000-0010-0000-0800-000004000000}" name="Angenomme Entfernung _x000a_(One-way) " totalsRowLabel="=&gt; hier sollten 100% stehen!" dataDxfId="135" totalsRowDxfId="134"/>
    <tableColumn id="5" xr3:uid="{00000000-0010-0000-0800-000005000000}" name="-" dataDxfId="133" totalsRowDxfId="132"/>
    <tableColumn id="6" xr3:uid="{00000000-0010-0000-0800-000006000000}" name="Zufußgehen %" dataDxfId="131" totalsRowDxfId="130"/>
    <tableColumn id="7" xr3:uid="{00000000-0010-0000-0800-000007000000}" name="E-Bike %" dataDxfId="129" totalsRowDxfId="128"/>
    <tableColumn id="8" xr3:uid="{00000000-0010-0000-0800-000008000000}" name="Fahrrad %" dataDxfId="127" totalsRowDxfId="126"/>
    <tableColumn id="9" xr3:uid="{00000000-0010-0000-0800-000009000000}" name="ÖPNV %" dataDxfId="125" totalsRowDxfId="124"/>
    <tableColumn id="10" xr3:uid="{00000000-0010-0000-0800-00000A000000}" name="Pkw %" dataDxfId="123" totalsRowDxfId="122"/>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pat_notf_heli" displayName="pat_notf_heli" ref="B20:J22" totalsRowCount="1" headerRowDxfId="121" dataDxfId="120" totalsRowDxfId="118" tableBorderDxfId="119">
  <autoFilter ref="B20:J21"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900-000001000000}" name="Flugzeugtyp" totalsRowLabel="Summe (luftgebundene Notfallkontakte)" dataDxfId="117" totalsRowDxfId="116"/>
    <tableColumn id="2" xr3:uid="{00000000-0010-0000-0900-000002000000}" name="Erläuterung Flugzeugtyp" dataDxfId="115" totalsRowDxfId="114"/>
    <tableColumn id="3" xr3:uid="{00000000-0010-0000-0900-000003000000}" name="Anzahl (Notfallpatienten)" totalsRowFunction="sum" dataDxfId="113" totalsRowDxfId="112"/>
    <tableColumn id="4" xr3:uid="{00000000-0010-0000-0900-000004000000}" name="Annahme Entfernung pro Einsatz (= pro Patient:in) [km]" dataDxfId="111" totalsRowDxfId="110"/>
    <tableColumn id="5" xr3:uid="{00000000-0010-0000-0900-000005000000}" name="Gesamte Distanz _x000a_[Pkm / Jahr]" dataDxfId="109" totalsRowDxfId="108">
      <calculatedColumnFormula>E21*pat_notf_heli[[#This Row],[Anzahl (Notfallpatienten)]]</calculatedColumnFormula>
    </tableColumn>
    <tableColumn id="6" xr3:uid="{00000000-0010-0000-0900-000006000000}" name="Emissionsfaktor _x000a_[kg CO2e / Pkm]" dataDxfId="107" totalsRowDxfId="106"/>
    <tableColumn id="7" xr3:uid="{00000000-0010-0000-0900-000007000000}" name="Ergebnis _x000a_[kg CO2e / Jahr]" totalsRowFunction="sum" dataDxfId="105" totalsRowDxfId="104">
      <calculatedColumnFormula>pat_notf_heli[[#This Row],[Gesamte Distanz 
'[Pkm / Jahr']]]*pat_notf_heli[[#This Row],[Emissionsfaktor 
'[kg CO2e / Pkm']]]</calculatedColumnFormula>
    </tableColumn>
    <tableColumn id="8" xr3:uid="{00000000-0010-0000-0900-000008000000}" name="Annahmen zu Entfernungen und Verbräuchen" dataDxfId="103" totalsRowDxfId="102"/>
    <tableColumn id="9" xr3:uid="{00000000-0010-0000-0900-000009000000}" name="Quelle" dataDxfId="101" totalsRowDxfId="100"/>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A000000}" name="Tabelle27" displayName="Tabelle27" ref="B27:M37" totalsRowShown="0" headerRowDxfId="99" dataDxfId="98">
  <autoFilter ref="B27:M37" xr:uid="{00000000-0009-0000-0100-00001B000000}"/>
  <tableColumns count="12">
    <tableColumn id="1" xr3:uid="{00000000-0010-0000-0A00-000001000000}" name="PLZ-Bereich" dataDxfId="97"/>
    <tableColumn id="2" xr3:uid="{00000000-0010-0000-0A00-000002000000}" name="Gebiet 0" dataDxfId="96"/>
    <tableColumn id="3" xr3:uid="{00000000-0010-0000-0A00-000003000000}" name="Gebiet 1" dataDxfId="95"/>
    <tableColumn id="4" xr3:uid="{00000000-0010-0000-0A00-000004000000}" name="Gebiet 2" dataDxfId="94"/>
    <tableColumn id="5" xr3:uid="{00000000-0010-0000-0A00-000005000000}" name="Gebiet 3" dataDxfId="93"/>
    <tableColumn id="6" xr3:uid="{00000000-0010-0000-0A00-000006000000}" name="Gebiet 4" dataDxfId="92"/>
    <tableColumn id="7" xr3:uid="{00000000-0010-0000-0A00-000007000000}" name="Gebiet 5" dataDxfId="91"/>
    <tableColumn id="8" xr3:uid="{00000000-0010-0000-0A00-000008000000}" name="Gebiet 6" dataDxfId="90"/>
    <tableColumn id="9" xr3:uid="{00000000-0010-0000-0A00-000009000000}" name="Gebiet 7" dataDxfId="89"/>
    <tableColumn id="10" xr3:uid="{00000000-0010-0000-0A00-00000A000000}" name="Gebiet 8" dataDxfId="88"/>
    <tableColumn id="11" xr3:uid="{00000000-0010-0000-0A00-00000B000000}" name="Gebiet 9" dataDxfId="87"/>
    <tableColumn id="12" xr3:uid="{00000000-0010-0000-0A00-00000C000000}" name="PLZ-Bereich: Zentrale Stadt" dataDxfId="86"/>
  </tableColumns>
  <tableStyleInfo name="TableStyleLight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B000000}" name="pat_inl_fahrten" displayName="pat_inl_fahrten" ref="B42:G53" totalsRowCount="1" headerRowDxfId="85" dataDxfId="83" totalsRowDxfId="81" headerRowBorderDxfId="84" tableBorderDxfId="82" totalsRowBorderDxfId="80">
  <tableColumns count="6">
    <tableColumn id="1" xr3:uid="{00000000-0010-0000-0B00-000001000000}" name="Postleitzahlbereich" totalsRowLabel="Summe" dataDxfId="79" totalsRowDxfId="78"/>
    <tableColumn id="6" xr3:uid="{00000000-0010-0000-0B00-000006000000}" name="-" dataDxfId="77" totalsRowDxfId="76"/>
    <tableColumn id="2" xr3:uid="{00000000-0010-0000-0B00-000002000000}" name="Anzahl der Besuche (ambulant &amp; stationär durch Patient:innen)" totalsRowFunction="sum" dataDxfId="75" totalsRowDxfId="74"/>
    <tableColumn id="3" xr3:uid="{00000000-0010-0000-0B00-000003000000}" name="Anteil [%]" totalsRowFunction="sum" dataDxfId="73" totalsRowDxfId="72">
      <calculatedColumnFormula>IFERROR(pat_inl_fahrten[[#This Row],[Anzahl der Besuche (ambulant &amp; stationär durch Patient:innen)]]/pat_inl_fahrten[[#Totals],[Anzahl der Besuche (ambulant &amp; stationär durch Patient:innen)]],"k.A.")</calculatedColumnFormula>
    </tableColumn>
    <tableColumn id="4" xr3:uid="{00000000-0010-0000-0B00-000004000000}" name="Angenommene Entfernung _x000a_One-way [km]" dataDxfId="71" totalsRowDxfId="70">
      <calculatedColumnFormula>INDEX(OFFSET(Tabelle27[PLZ-Bereich],0,MATCH(pat_inl_fahrten[[#This Row],[Postleitzahlbereich]],Tabelle27[PLZ-Bereich],0)),MATCH(D40,C27:L27,0))</calculatedColumnFormula>
    </tableColumn>
    <tableColumn id="5" xr3:uid="{00000000-0010-0000-0B00-000005000000}" name="Gesamtdistanzen Regelkontakte [Pkm]" totalsRowFunction="sum" dataDxfId="69" totalsRowDxfId="68">
      <calculatedColumnFormula>pat_inl_fahrten[[#This Row],[Anzahl der Besuche (ambulant &amp; stationär durch Patient:innen)]]*pat_inl_fahrten[[#This Row],[Angenommene Entfernung 
One-way '[km']]]*2</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C000000}" name="Pat_ausl_ergeb" displayName="Pat_ausl_ergeb" ref="B120:J126" totalsRowCount="1" headerRowDxfId="67" dataDxfId="65" totalsRowDxfId="64" headerRowBorderDxfId="66">
  <autoFilter ref="B120:J125"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Herkundskontinent" totalsRowLabel="Ergebnis" dataDxfId="63" totalsRowDxfId="62"/>
    <tableColumn id="2" xr3:uid="{00000000-0010-0000-0C00-000002000000}" name="Zielland" dataDxfId="61" totalsRowDxfId="60"/>
    <tableColumn id="3" xr3:uid="{00000000-0010-0000-0C00-000003000000}" name="Anzahl Flüge" totalsRowFunction="sum" dataDxfId="59" totalsRowDxfId="58">
      <calculatedColumnFormula>SUMIFS(Pat_ausl_Flüge[Anzahl der Besuche (ambulant &amp; stationär durch Patient:innen)],Pat_ausl_Flüge[Region (Zuordnung)],Pat_ausl_ergeb[[#This Row],[Zielland]])</calculatedColumnFormula>
    </tableColumn>
    <tableColumn id="4" xr3:uid="{00000000-0010-0000-0C00-000004000000}" name="Annahme Entfernung One-Way [km]" dataDxfId="57" totalsRowDxfId="56"/>
    <tableColumn id="5" xr3:uid="{00000000-0010-0000-0C00-000005000000}" name="Gesamte Distanz _x000a_[Pkm / Jahr]" dataDxfId="55" totalsRowDxfId="54">
      <calculatedColumnFormula>Pat_ausl_ergeb[[#This Row],[Anzahl Flüge]]*Pat_ausl_ergeb[[#This Row],[Annahme Entfernung One-Way '[km']]]*2</calculatedColumnFormula>
    </tableColumn>
    <tableColumn id="6" xr3:uid="{00000000-0010-0000-0C00-000006000000}" name="Emissionsfaktor _x000a_[kg CO2e / Pkm]" dataDxfId="53" totalsRowDxfId="52"/>
    <tableColumn id="7" xr3:uid="{00000000-0010-0000-0C00-000007000000}" name="Ergebnis _x000a_[kg CO2e / Jahr]" totalsRowFunction="sum" dataDxfId="51" totalsRowDxfId="50">
      <calculatedColumnFormula>Pat_ausl_ergeb[[#This Row],[Gesamte Distanz 
'[Pkm / Jahr']]]*Pat_ausl_ergeb[[#This Row],[Emissionsfaktor 
'[kg CO2e / Pkm']]]</calculatedColumnFormula>
    </tableColumn>
    <tableColumn id="8" xr3:uid="{00000000-0010-0000-0C00-000008000000}" name="Annahmen zu Entfernungen (CAFOGES)" dataDxfId="49" totalsRowDxfId="48"/>
    <tableColumn id="9" xr3:uid="{00000000-0010-0000-0C00-000009000000}" name="Quelle" dataDxfId="47" totalsRowDxfId="4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D000000}" name="Pat_ausl_Flüge" displayName="Pat_ausl_Flüge" ref="B63:E117" totalsRowShown="0" headerRowDxfId="45" dataDxfId="44">
  <autoFilter ref="B63:E117" xr:uid="{00000000-0009-0000-0100-00001E000000}"/>
  <tableColumns count="4">
    <tableColumn id="1" xr3:uid="{00000000-0010-0000-0D00-000001000000}" name="Land (Wohnsitz)" dataDxfId="43"/>
    <tableColumn id="4" xr3:uid="{00000000-0010-0000-0D00-000004000000}" name="Region (Zuordnung)" dataDxfId="42"/>
    <tableColumn id="3" xr3:uid="{00000000-0010-0000-0D00-000003000000}" name="Anzahl der Besuche (ambulant &amp; stationär durch Patient:innen)" dataDxfId="41"/>
    <tableColumn id="2" xr3:uid="{00000000-0010-0000-0D00-000002000000}" name="Zusatzinfo" dataDxfId="40"/>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pat_inl_ergeb" displayName="pat_inl_ergeb" ref="B56:J58" totalsRowCount="1" headerRowBorderDxfId="39" tableBorderDxfId="38">
  <autoFilter ref="B56:J57"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Verkehrsmittel" totalsRowLabel="Ergebnis" dataDxfId="37" totalsRowDxfId="36"/>
    <tableColumn id="2" xr3:uid="{00000000-0010-0000-0E00-000002000000}" name="-" dataDxfId="35" totalsRowDxfId="34"/>
    <tableColumn id="3" xr3:uid="{00000000-0010-0000-0E00-000003000000}" name="Distanzen Regelkontakte [km]" dataDxfId="33" totalsRowDxfId="32">
      <calculatedColumnFormula>pat_inl_fahrten[[#Totals],[Gesamtdistanzen Regelkontakte '[Pkm']]]</calculatedColumnFormula>
    </tableColumn>
    <tableColumn id="4" xr3:uid="{00000000-0010-0000-0E00-000004000000}" name="Emissionsfaktor PKW_x000a_[kg CO2e / km]" dataDxfId="31" totalsRowDxfId="30"/>
    <tableColumn id="5" xr3:uid="{00000000-0010-0000-0E00-000005000000}" name="--" dataDxfId="29" totalsRowDxfId="28"/>
    <tableColumn id="6" xr3:uid="{00000000-0010-0000-0E00-000006000000}" name="---" dataDxfId="27" totalsRowDxfId="26"/>
    <tableColumn id="7" xr3:uid="{00000000-0010-0000-0E00-000007000000}" name="Ergebnis _x000a_[kg CO2e / Jahr]" totalsRowFunction="sum" dataDxfId="25" totalsRowDxfId="24">
      <calculatedColumnFormula>D57*E57</calculatedColumnFormula>
    </tableColumn>
    <tableColumn id="8" xr3:uid="{00000000-0010-0000-0E00-000008000000}" name="Annahmen zu Entfernungen" dataDxfId="23" totalsRowDxfId="22"/>
    <tableColumn id="9" xr3:uid="{00000000-0010-0000-0E00-000009000000}" name="Quelle" dataDxfId="21" totalsRowDxfId="20"/>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pat_mobi_gesamt" displayName="pat_mobi_gesamt" ref="B131:H135" totalsRowCount="1" headerRowDxfId="19" dataDxfId="17" headerRowBorderDxfId="18" tableBorderDxfId="16" totalsRowBorderDxfId="15">
  <autoFilter ref="B131:H134"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Bereich" totalsRowLabel="THG-Emissionen durch Patient*innen-Mobilität (gesamt)" dataDxfId="14" totalsRowDxfId="13"/>
    <tableColumn id="2" xr3:uid="{00000000-0010-0000-0F00-000002000000}" name="Beschreibung" dataDxfId="12" totalsRowDxfId="11"/>
    <tableColumn id="3" xr3:uid="{00000000-0010-0000-0F00-000003000000}" name="-" dataDxfId="10" totalsRowDxfId="9"/>
    <tableColumn id="4" xr3:uid="{00000000-0010-0000-0F00-000004000000}" name="--" dataDxfId="8" totalsRowDxfId="7"/>
    <tableColumn id="5" xr3:uid="{00000000-0010-0000-0F00-000005000000}" name="---" dataDxfId="6" totalsRowDxfId="5"/>
    <tableColumn id="6" xr3:uid="{00000000-0010-0000-0F00-000006000000}" name="----" dataDxfId="4" totalsRowDxfId="3"/>
    <tableColumn id="7" xr3:uid="{00000000-0010-0000-0F00-000007000000}" name="Ergebnis _x000a_[kg CO2e / Jahr]" totalsRowFunction="sum" dataDxfId="2" totalsRowDxfId="1"/>
  </tableColumns>
  <tableStyleInfo name="TableStyleLight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zoomScale="93" zoomScaleNormal="100" workbookViewId="0">
      <selection activeCell="F25" sqref="F25"/>
    </sheetView>
  </sheetViews>
  <sheetFormatPr baseColWidth="10" defaultColWidth="11.5" defaultRowHeight="13" x14ac:dyDescent="0.15"/>
  <cols>
    <col min="1" max="1" width="3.5" style="34" customWidth="1"/>
    <col min="2" max="2" width="10.5" style="34" bestFit="1" customWidth="1"/>
    <col min="3" max="3" width="32.5" style="34" bestFit="1" customWidth="1"/>
    <col min="4" max="4" width="25.5" style="34" bestFit="1" customWidth="1"/>
    <col min="5" max="5" width="16.83203125" style="34" bestFit="1" customWidth="1"/>
    <col min="6" max="6" width="21" style="82" customWidth="1"/>
    <col min="7" max="7" width="18.5" style="82" customWidth="1"/>
    <col min="8" max="8" width="48.83203125" style="34" customWidth="1"/>
    <col min="9" max="9" width="3.5" style="34" customWidth="1"/>
    <col min="10" max="10" width="5.5" style="222" customWidth="1"/>
    <col min="11" max="16384" width="11.5" style="34"/>
  </cols>
  <sheetData>
    <row r="1" spans="1:10" ht="12.75" customHeight="1" thickBot="1" x14ac:dyDescent="0.2"/>
    <row r="2" spans="1:10" ht="12.75" customHeight="1" thickBot="1" x14ac:dyDescent="0.2">
      <c r="A2" s="282" t="s">
        <v>296</v>
      </c>
      <c r="B2" s="283"/>
      <c r="C2" s="283"/>
      <c r="D2" s="283"/>
      <c r="E2" s="283"/>
      <c r="F2" s="283"/>
      <c r="G2" s="283"/>
      <c r="H2" s="283"/>
      <c r="I2" s="283"/>
      <c r="J2" s="284"/>
    </row>
    <row r="3" spans="1:10" ht="12.75" customHeight="1" thickBot="1" x14ac:dyDescent="0.2">
      <c r="A3" s="33"/>
      <c r="B3" s="285" t="s">
        <v>214</v>
      </c>
      <c r="C3" s="285"/>
      <c r="D3" s="285"/>
      <c r="E3" s="285"/>
      <c r="F3" s="285"/>
      <c r="G3" s="285"/>
      <c r="H3" s="285"/>
    </row>
    <row r="4" spans="1:10" ht="12.75" customHeight="1" x14ac:dyDescent="0.15">
      <c r="A4" s="33"/>
      <c r="B4" s="276" t="s">
        <v>266</v>
      </c>
      <c r="C4" s="277"/>
      <c r="D4" s="277"/>
      <c r="E4" s="277"/>
      <c r="F4" s="277"/>
      <c r="G4" s="277"/>
      <c r="H4" s="278"/>
    </row>
    <row r="5" spans="1:10" ht="12.75" customHeight="1" x14ac:dyDescent="0.15">
      <c r="A5" s="33"/>
      <c r="B5" s="279"/>
      <c r="C5" s="280"/>
      <c r="D5" s="280"/>
      <c r="E5" s="280"/>
      <c r="F5" s="280"/>
      <c r="G5" s="280"/>
      <c r="H5" s="281"/>
    </row>
    <row r="6" spans="1:10" ht="12.75" customHeight="1" x14ac:dyDescent="0.15">
      <c r="A6" s="33"/>
      <c r="B6" s="279"/>
      <c r="C6" s="280"/>
      <c r="D6" s="280"/>
      <c r="E6" s="280"/>
      <c r="F6" s="280"/>
      <c r="G6" s="280"/>
      <c r="H6" s="281"/>
    </row>
    <row r="7" spans="1:10" ht="12.75" customHeight="1" x14ac:dyDescent="0.15">
      <c r="A7" s="218"/>
      <c r="C7" s="290" t="s">
        <v>124</v>
      </c>
      <c r="D7" s="290"/>
      <c r="F7" s="4" t="s">
        <v>114</v>
      </c>
      <c r="G7" s="4" t="s">
        <v>132</v>
      </c>
      <c r="H7" s="35"/>
    </row>
    <row r="8" spans="1:10" ht="12.75" customHeight="1" x14ac:dyDescent="0.15">
      <c r="A8" s="218"/>
      <c r="B8" s="219"/>
      <c r="F8" s="286" t="s">
        <v>116</v>
      </c>
      <c r="G8" s="288" t="s">
        <v>116</v>
      </c>
      <c r="H8" s="35"/>
    </row>
    <row r="9" spans="1:10" ht="12.75" customHeight="1" x14ac:dyDescent="0.15">
      <c r="A9" s="33"/>
      <c r="B9" s="220"/>
      <c r="C9" s="215"/>
      <c r="D9" s="216"/>
      <c r="F9" s="286"/>
      <c r="G9" s="288"/>
      <c r="H9" s="35"/>
    </row>
    <row r="10" spans="1:10" ht="12.75" customHeight="1" x14ac:dyDescent="0.15">
      <c r="A10" s="33"/>
      <c r="B10" s="220"/>
      <c r="C10" s="215"/>
      <c r="D10" s="217"/>
      <c r="F10" s="286"/>
      <c r="G10" s="288"/>
      <c r="H10" s="35"/>
    </row>
    <row r="11" spans="1:10" ht="12.75" customHeight="1" x14ac:dyDescent="0.15">
      <c r="A11" s="33"/>
      <c r="B11" s="158"/>
      <c r="F11" s="286"/>
      <c r="G11" s="288"/>
      <c r="H11" s="35"/>
    </row>
    <row r="12" spans="1:10" ht="12.75" customHeight="1" thickBot="1" x14ac:dyDescent="0.2">
      <c r="A12" s="33"/>
      <c r="B12" s="159"/>
      <c r="C12" s="36"/>
      <c r="D12" s="5"/>
      <c r="E12" s="36"/>
      <c r="F12" s="287"/>
      <c r="G12" s="289"/>
      <c r="H12" s="94" t="s">
        <v>125</v>
      </c>
    </row>
    <row r="13" spans="1:10" ht="12.75" customHeight="1" thickBot="1" x14ac:dyDescent="0.2">
      <c r="A13" s="33"/>
      <c r="F13" s="37"/>
      <c r="G13" s="37"/>
    </row>
    <row r="14" spans="1:10" ht="12.75" customHeight="1" thickBot="1" x14ac:dyDescent="0.2">
      <c r="A14" s="33"/>
      <c r="B14" s="256" t="s">
        <v>121</v>
      </c>
      <c r="C14" s="257"/>
      <c r="D14" s="257"/>
      <c r="E14" s="257"/>
      <c r="F14" s="257"/>
      <c r="G14" s="257"/>
      <c r="H14" s="258"/>
    </row>
    <row r="15" spans="1:10" ht="14" customHeight="1" thickBot="1" x14ac:dyDescent="0.2">
      <c r="A15" s="33"/>
      <c r="B15" s="256" t="s">
        <v>117</v>
      </c>
      <c r="C15" s="257"/>
      <c r="D15" s="257"/>
      <c r="E15" s="257"/>
      <c r="F15" s="256" t="s">
        <v>130</v>
      </c>
      <c r="G15" s="257"/>
      <c r="H15" s="258"/>
    </row>
    <row r="16" spans="1:10" x14ac:dyDescent="0.15">
      <c r="A16" s="33"/>
      <c r="B16" s="267" t="s">
        <v>122</v>
      </c>
      <c r="C16" s="269" t="s">
        <v>118</v>
      </c>
      <c r="D16" s="271"/>
      <c r="E16" s="272" t="s">
        <v>263</v>
      </c>
      <c r="F16" s="274" t="s">
        <v>119</v>
      </c>
      <c r="G16" s="275"/>
      <c r="H16" s="265" t="s">
        <v>267</v>
      </c>
    </row>
    <row r="17" spans="1:8" ht="15" thickBot="1" x14ac:dyDescent="0.2">
      <c r="A17" s="33"/>
      <c r="B17" s="268"/>
      <c r="C17" s="270"/>
      <c r="D17" s="270"/>
      <c r="E17" s="273"/>
      <c r="F17" s="7" t="s">
        <v>120</v>
      </c>
      <c r="G17" s="8" t="s">
        <v>264</v>
      </c>
      <c r="H17" s="266"/>
    </row>
    <row r="18" spans="1:8" ht="14" customHeight="1" thickBot="1" x14ac:dyDescent="0.2">
      <c r="A18" s="33"/>
      <c r="B18" s="262" t="s">
        <v>257</v>
      </c>
      <c r="C18" s="263"/>
      <c r="D18" s="263"/>
      <c r="E18" s="263"/>
      <c r="F18" s="263"/>
      <c r="G18" s="264"/>
      <c r="H18" s="201" t="s">
        <v>222</v>
      </c>
    </row>
    <row r="19" spans="1:8" x14ac:dyDescent="0.15">
      <c r="A19" s="33"/>
      <c r="B19" s="33">
        <v>2</v>
      </c>
      <c r="C19" s="34" t="s">
        <v>259</v>
      </c>
      <c r="D19" s="206"/>
      <c r="E19" s="202">
        <v>0.51744000000000012</v>
      </c>
      <c r="F19" s="234"/>
      <c r="G19" s="6">
        <f>E19*F19</f>
        <v>0</v>
      </c>
      <c r="H19" s="163"/>
    </row>
    <row r="20" spans="1:8" x14ac:dyDescent="0.15">
      <c r="A20" s="33"/>
      <c r="B20" s="33">
        <v>5</v>
      </c>
      <c r="C20" s="34" t="s">
        <v>259</v>
      </c>
      <c r="D20" s="2"/>
      <c r="E20" s="202">
        <v>1.2936000000000001</v>
      </c>
      <c r="F20" s="235"/>
      <c r="G20" s="6">
        <f>E20*F20</f>
        <v>0</v>
      </c>
      <c r="H20" s="163"/>
    </row>
    <row r="21" spans="1:8" ht="14" thickBot="1" x14ac:dyDescent="0.2">
      <c r="A21" s="33"/>
      <c r="B21" s="33">
        <v>10</v>
      </c>
      <c r="C21" s="34" t="s">
        <v>259</v>
      </c>
      <c r="D21" s="207"/>
      <c r="E21" s="202">
        <v>2.5872000000000002</v>
      </c>
      <c r="F21" s="236"/>
      <c r="G21" s="203">
        <f>E21*F21</f>
        <v>0</v>
      </c>
      <c r="H21" s="163"/>
    </row>
    <row r="22" spans="1:8" ht="14" customHeight="1" thickBot="1" x14ac:dyDescent="0.2">
      <c r="A22" s="33"/>
      <c r="B22" s="259" t="s">
        <v>265</v>
      </c>
      <c r="C22" s="260"/>
      <c r="D22" s="260"/>
      <c r="E22" s="260"/>
      <c r="F22" s="260"/>
      <c r="G22" s="261"/>
      <c r="H22" s="163" t="s">
        <v>261</v>
      </c>
    </row>
    <row r="23" spans="1:8" x14ac:dyDescent="0.15">
      <c r="B23" s="33">
        <v>1</v>
      </c>
      <c r="C23" s="34" t="s">
        <v>258</v>
      </c>
      <c r="D23" s="206"/>
      <c r="E23" s="155">
        <v>0.75</v>
      </c>
      <c r="F23" s="234"/>
      <c r="G23" s="200">
        <f t="shared" ref="G23:G33" si="0">E23*F23</f>
        <v>0</v>
      </c>
      <c r="H23" s="163"/>
    </row>
    <row r="24" spans="1:8" ht="11.5" customHeight="1" x14ac:dyDescent="0.15">
      <c r="A24" s="33"/>
      <c r="B24" s="33">
        <v>2</v>
      </c>
      <c r="C24" s="34" t="s">
        <v>260</v>
      </c>
      <c r="D24" s="2"/>
      <c r="E24" s="155">
        <v>1.5</v>
      </c>
      <c r="F24" s="237"/>
      <c r="G24" s="6">
        <f t="shared" si="0"/>
        <v>0</v>
      </c>
      <c r="H24" s="162"/>
    </row>
    <row r="25" spans="1:8" x14ac:dyDescent="0.15">
      <c r="A25" s="33"/>
      <c r="B25" s="33">
        <v>3</v>
      </c>
      <c r="C25" s="34" t="s">
        <v>260</v>
      </c>
      <c r="D25" s="2"/>
      <c r="E25" s="155">
        <v>2.25</v>
      </c>
      <c r="F25" s="235"/>
      <c r="G25" s="6">
        <f t="shared" si="0"/>
        <v>0</v>
      </c>
      <c r="H25" s="162"/>
    </row>
    <row r="26" spans="1:8" x14ac:dyDescent="0.15">
      <c r="A26" s="33"/>
      <c r="B26" s="33">
        <v>5</v>
      </c>
      <c r="C26" s="34" t="s">
        <v>260</v>
      </c>
      <c r="D26" s="2"/>
      <c r="E26" s="155">
        <v>3.75</v>
      </c>
      <c r="F26" s="235"/>
      <c r="G26" s="6">
        <f t="shared" si="0"/>
        <v>0</v>
      </c>
      <c r="H26" s="162"/>
    </row>
    <row r="27" spans="1:8" ht="13.5" customHeight="1" x14ac:dyDescent="0.15">
      <c r="A27" s="33"/>
      <c r="B27" s="33">
        <v>10</v>
      </c>
      <c r="C27" s="34" t="s">
        <v>260</v>
      </c>
      <c r="D27" s="2"/>
      <c r="E27" s="155">
        <v>7.5</v>
      </c>
      <c r="F27" s="237"/>
      <c r="G27" s="6">
        <f t="shared" si="0"/>
        <v>0</v>
      </c>
      <c r="H27" s="162"/>
    </row>
    <row r="28" spans="1:8" x14ac:dyDescent="0.15">
      <c r="A28" s="33"/>
      <c r="B28" s="33">
        <v>20</v>
      </c>
      <c r="C28" s="34" t="s">
        <v>260</v>
      </c>
      <c r="D28" s="2"/>
      <c r="E28" s="155">
        <v>15</v>
      </c>
      <c r="F28" s="235"/>
      <c r="G28" s="6">
        <f t="shared" si="0"/>
        <v>0</v>
      </c>
      <c r="H28" s="162"/>
    </row>
    <row r="29" spans="1:8" ht="15.75" customHeight="1" x14ac:dyDescent="0.15">
      <c r="A29" s="33"/>
      <c r="B29" s="33">
        <v>40</v>
      </c>
      <c r="C29" s="34" t="s">
        <v>260</v>
      </c>
      <c r="D29" s="2"/>
      <c r="E29" s="155">
        <v>30</v>
      </c>
      <c r="F29" s="235"/>
      <c r="G29" s="6">
        <f t="shared" si="0"/>
        <v>0</v>
      </c>
      <c r="H29" s="162"/>
    </row>
    <row r="30" spans="1:8" x14ac:dyDescent="0.15">
      <c r="A30" s="33"/>
      <c r="B30" s="33">
        <v>50</v>
      </c>
      <c r="C30" s="34" t="s">
        <v>260</v>
      </c>
      <c r="D30" s="2"/>
      <c r="E30" s="155">
        <v>37.5</v>
      </c>
      <c r="F30" s="235"/>
      <c r="G30" s="6">
        <f t="shared" si="0"/>
        <v>0</v>
      </c>
      <c r="H30" s="162"/>
    </row>
    <row r="31" spans="1:8" x14ac:dyDescent="0.15">
      <c r="A31" s="33"/>
      <c r="B31" s="33">
        <v>300</v>
      </c>
      <c r="C31" s="34" t="s">
        <v>260</v>
      </c>
      <c r="D31" s="2"/>
      <c r="E31" s="155">
        <v>225</v>
      </c>
      <c r="F31" s="235"/>
      <c r="G31" s="6">
        <f t="shared" si="0"/>
        <v>0</v>
      </c>
      <c r="H31" s="162"/>
    </row>
    <row r="32" spans="1:8" x14ac:dyDescent="0.15">
      <c r="A32" s="33"/>
      <c r="B32" s="204" t="s">
        <v>262</v>
      </c>
      <c r="C32" s="34" t="s">
        <v>260</v>
      </c>
      <c r="D32" s="2"/>
      <c r="E32" s="155">
        <v>450</v>
      </c>
      <c r="F32" s="236"/>
      <c r="G32" s="203">
        <f t="shared" si="0"/>
        <v>0</v>
      </c>
      <c r="H32" s="162"/>
    </row>
    <row r="33" spans="1:11" ht="13" customHeight="1" thickBot="1" x14ac:dyDescent="0.2">
      <c r="A33" s="33"/>
      <c r="B33" s="205" t="s">
        <v>256</v>
      </c>
      <c r="C33" s="160" t="s">
        <v>260</v>
      </c>
      <c r="D33" s="2"/>
      <c r="E33" s="211">
        <v>450</v>
      </c>
      <c r="F33" s="236"/>
      <c r="G33" s="203">
        <f t="shared" si="0"/>
        <v>0</v>
      </c>
      <c r="H33" s="162"/>
    </row>
    <row r="34" spans="1:11" ht="14" thickBot="1" x14ac:dyDescent="0.2">
      <c r="A34" s="33"/>
      <c r="B34" s="156"/>
      <c r="C34" s="157"/>
      <c r="D34" s="157"/>
      <c r="E34" s="157"/>
      <c r="F34" s="208" t="s">
        <v>123</v>
      </c>
      <c r="G34" s="209">
        <f>SUM(G18:G33)</f>
        <v>0</v>
      </c>
      <c r="H34" s="210" t="s">
        <v>125</v>
      </c>
    </row>
    <row r="35" spans="1:11" x14ac:dyDescent="0.15">
      <c r="A35" s="33"/>
    </row>
    <row r="36" spans="1:11" x14ac:dyDescent="0.15">
      <c r="A36" s="33"/>
    </row>
    <row r="37" spans="1:11" x14ac:dyDescent="0.15">
      <c r="A37" s="33"/>
      <c r="H37" s="222"/>
      <c r="I37" s="223"/>
      <c r="K37" s="224"/>
    </row>
    <row r="38" spans="1:11" x14ac:dyDescent="0.15">
      <c r="A38" s="33"/>
      <c r="H38" s="222"/>
      <c r="I38" s="223"/>
      <c r="K38" s="224"/>
    </row>
    <row r="39" spans="1:11" x14ac:dyDescent="0.15">
      <c r="A39" s="33"/>
      <c r="H39" s="222"/>
      <c r="I39" s="223"/>
      <c r="K39" s="224"/>
    </row>
    <row r="40" spans="1:11" x14ac:dyDescent="0.15">
      <c r="A40" s="33"/>
      <c r="G40" s="221"/>
      <c r="H40" s="222"/>
      <c r="I40" s="223"/>
      <c r="K40" s="224"/>
    </row>
    <row r="41" spans="1:11" x14ac:dyDescent="0.15">
      <c r="A41" s="33"/>
      <c r="H41" s="222"/>
      <c r="I41" s="223"/>
      <c r="K41" s="224"/>
    </row>
    <row r="42" spans="1:11" x14ac:dyDescent="0.15">
      <c r="A42" s="33"/>
      <c r="H42" s="222"/>
      <c r="I42" s="223"/>
      <c r="K42" s="224"/>
    </row>
    <row r="43" spans="1:11" x14ac:dyDescent="0.15">
      <c r="A43" s="33"/>
      <c r="H43" s="222"/>
      <c r="I43" s="223"/>
      <c r="K43" s="224"/>
    </row>
    <row r="44" spans="1:11" x14ac:dyDescent="0.15">
      <c r="A44" s="33"/>
      <c r="H44" s="222"/>
      <c r="I44" s="223"/>
      <c r="K44" s="224"/>
    </row>
    <row r="45" spans="1:11" x14ac:dyDescent="0.15">
      <c r="A45" s="33"/>
      <c r="B45" s="227"/>
    </row>
  </sheetData>
  <sheetProtection algorithmName="SHA-512" hashValue="WqT2RNaNRgxiFiWvdpcSs6ooQH7hqR8X4rZepZlwq86bZ6LdzKvJExeOF701Bf9ISgadscUnKCX751xUSwzuHQ==" saltValue="zNo8x98sT/f6TqSEVyK9Wg==" spinCount="100000" sheet="1" objects="1" scenarios="1" selectLockedCells="1"/>
  <mergeCells count="17">
    <mergeCell ref="B4:H6"/>
    <mergeCell ref="A2:J2"/>
    <mergeCell ref="B3:H3"/>
    <mergeCell ref="F8:F12"/>
    <mergeCell ref="G8:G12"/>
    <mergeCell ref="C7:D7"/>
    <mergeCell ref="B14:H14"/>
    <mergeCell ref="B15:E15"/>
    <mergeCell ref="F15:H15"/>
    <mergeCell ref="B22:G22"/>
    <mergeCell ref="B18:G18"/>
    <mergeCell ref="H16:H17"/>
    <mergeCell ref="B16:B17"/>
    <mergeCell ref="C16:C17"/>
    <mergeCell ref="D16:D17"/>
    <mergeCell ref="E16:E17"/>
    <mergeCell ref="F16:G1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7"/>
  <sheetViews>
    <sheetView topLeftCell="A148" zoomScale="63" zoomScaleNormal="68" workbookViewId="0">
      <selection activeCell="D130" sqref="D130"/>
    </sheetView>
  </sheetViews>
  <sheetFormatPr baseColWidth="10" defaultColWidth="11.5" defaultRowHeight="13" x14ac:dyDescent="0.15"/>
  <cols>
    <col min="1" max="1" width="11.5" style="34"/>
    <col min="2" max="2" width="46.5" style="34" customWidth="1"/>
    <col min="3" max="3" width="21.83203125" style="34" customWidth="1"/>
    <col min="4" max="4" width="32.5" style="34" bestFit="1" customWidth="1"/>
    <col min="5" max="5" width="21.5" style="80" customWidth="1"/>
    <col min="6" max="6" width="27.83203125" style="80" customWidth="1"/>
    <col min="7" max="7" width="18.5" style="34" bestFit="1" customWidth="1"/>
    <col min="8" max="8" width="38.83203125" style="34" bestFit="1" customWidth="1"/>
    <col min="9" max="9" width="36.83203125" style="34" bestFit="1" customWidth="1"/>
    <col min="10" max="10" width="11.5" style="34"/>
    <col min="11" max="11" width="31.83203125" style="34" customWidth="1"/>
    <col min="12" max="16" width="11.5" style="34"/>
    <col min="17" max="17" width="51.5" style="34" customWidth="1"/>
    <col min="18" max="16384" width="11.5" style="34"/>
  </cols>
  <sheetData>
    <row r="1" spans="1:20" ht="12.75" customHeight="1" thickBot="1" x14ac:dyDescent="0.2">
      <c r="E1" s="34"/>
      <c r="F1" s="34"/>
      <c r="G1" s="82"/>
      <c r="H1" s="82"/>
      <c r="L1" s="82"/>
      <c r="M1" s="82"/>
    </row>
    <row r="2" spans="1:20" ht="12.75" customHeight="1" thickBot="1" x14ac:dyDescent="0.2">
      <c r="A2" s="83"/>
      <c r="B2" s="283" t="s">
        <v>296</v>
      </c>
      <c r="C2" s="283"/>
      <c r="D2" s="283"/>
      <c r="E2" s="283"/>
      <c r="F2" s="283"/>
      <c r="G2" s="283"/>
      <c r="H2" s="283"/>
      <c r="I2" s="283"/>
      <c r="J2" s="283"/>
      <c r="K2" s="283"/>
      <c r="L2" s="283"/>
      <c r="M2" s="84"/>
      <c r="N2" s="85"/>
    </row>
    <row r="3" spans="1:20" ht="12.75" customHeight="1" thickBot="1" x14ac:dyDescent="0.2">
      <c r="A3" s="33"/>
      <c r="B3" s="295" t="s">
        <v>208</v>
      </c>
      <c r="C3" s="295"/>
      <c r="D3" s="295"/>
      <c r="E3" s="295"/>
      <c r="F3" s="295"/>
      <c r="G3" s="295"/>
      <c r="H3" s="295"/>
      <c r="I3" s="295"/>
      <c r="J3" s="295"/>
      <c r="K3" s="295"/>
      <c r="L3" s="295"/>
    </row>
    <row r="4" spans="1:20" ht="12.75" customHeight="1" x14ac:dyDescent="0.2">
      <c r="B4" s="296" t="s">
        <v>135</v>
      </c>
      <c r="C4" s="297"/>
      <c r="D4" s="297"/>
      <c r="E4" s="297"/>
      <c r="F4" s="297"/>
      <c r="G4" s="297"/>
      <c r="H4" s="297"/>
      <c r="I4" s="297"/>
      <c r="J4" s="297"/>
      <c r="K4" s="297"/>
      <c r="L4" s="298"/>
      <c r="P4" s="79"/>
      <c r="Q4" s="79"/>
      <c r="R4" s="79"/>
      <c r="S4" s="79"/>
      <c r="T4" s="79"/>
    </row>
    <row r="5" spans="1:20" ht="12.75" customHeight="1" x14ac:dyDescent="0.2">
      <c r="B5" s="299"/>
      <c r="C5" s="300"/>
      <c r="D5" s="300"/>
      <c r="E5" s="300"/>
      <c r="F5" s="300"/>
      <c r="G5" s="300"/>
      <c r="H5" s="300"/>
      <c r="I5" s="300"/>
      <c r="J5" s="300"/>
      <c r="K5" s="300"/>
      <c r="L5" s="301"/>
      <c r="P5" s="79"/>
      <c r="Q5" s="79"/>
      <c r="R5" s="79"/>
      <c r="S5" s="79"/>
      <c r="T5" s="79"/>
    </row>
    <row r="6" spans="1:20" ht="12.75" customHeight="1" x14ac:dyDescent="0.2">
      <c r="B6" s="299"/>
      <c r="C6" s="300"/>
      <c r="D6" s="300"/>
      <c r="E6" s="300"/>
      <c r="F6" s="300"/>
      <c r="G6" s="300"/>
      <c r="H6" s="300"/>
      <c r="I6" s="300"/>
      <c r="J6" s="300"/>
      <c r="K6" s="300"/>
      <c r="L6" s="301"/>
      <c r="P6" s="79"/>
      <c r="Q6" s="79"/>
      <c r="R6" s="79"/>
      <c r="S6" s="79"/>
      <c r="T6" s="79"/>
    </row>
    <row r="7" spans="1:20" s="39" customFormat="1" ht="12.75" customHeight="1" x14ac:dyDescent="0.2">
      <c r="B7" s="38" t="s">
        <v>127</v>
      </c>
      <c r="D7" s="14" t="s">
        <v>114</v>
      </c>
      <c r="E7" s="14"/>
      <c r="H7" s="14" t="s">
        <v>115</v>
      </c>
      <c r="I7" s="39" t="s">
        <v>169</v>
      </c>
      <c r="K7" s="40"/>
      <c r="L7" s="15"/>
      <c r="P7" s="79"/>
      <c r="Q7" s="79"/>
      <c r="R7" s="79"/>
      <c r="S7" s="79"/>
      <c r="T7" s="79"/>
    </row>
    <row r="8" spans="1:20" ht="12.75" customHeight="1" x14ac:dyDescent="0.2">
      <c r="B8" s="86"/>
      <c r="C8" s="22"/>
      <c r="D8" s="302" t="s">
        <v>116</v>
      </c>
      <c r="E8" s="24"/>
      <c r="F8" s="25"/>
      <c r="G8" s="25"/>
      <c r="H8" s="305" t="s">
        <v>116</v>
      </c>
      <c r="I8" s="308" t="s">
        <v>125</v>
      </c>
      <c r="K8" s="37"/>
      <c r="L8" s="87"/>
      <c r="P8" s="79"/>
      <c r="Q8" s="79"/>
      <c r="R8" s="79"/>
      <c r="S8" s="79"/>
      <c r="T8" s="79"/>
    </row>
    <row r="9" spans="1:20" ht="12.75" customHeight="1" x14ac:dyDescent="0.2">
      <c r="B9" s="86"/>
      <c r="C9" s="22"/>
      <c r="D9" s="303"/>
      <c r="E9" s="24"/>
      <c r="F9" s="25"/>
      <c r="G9" s="25"/>
      <c r="H9" s="306"/>
      <c r="I9" s="308"/>
      <c r="K9" s="37"/>
      <c r="L9" s="87"/>
      <c r="P9" s="79"/>
      <c r="Q9" s="79"/>
      <c r="R9" s="79"/>
      <c r="S9" s="79"/>
      <c r="T9" s="79"/>
    </row>
    <row r="10" spans="1:20" ht="12.75" customHeight="1" x14ac:dyDescent="0.2">
      <c r="B10" s="86"/>
      <c r="C10" s="22"/>
      <c r="D10" s="303"/>
      <c r="E10" s="24"/>
      <c r="F10" s="25"/>
      <c r="G10" s="25"/>
      <c r="H10" s="306"/>
      <c r="I10" s="308"/>
      <c r="K10" s="37"/>
      <c r="L10" s="87"/>
      <c r="P10" s="79"/>
      <c r="Q10" s="79"/>
      <c r="R10" s="79"/>
      <c r="S10" s="79"/>
      <c r="T10" s="79"/>
    </row>
    <row r="11" spans="1:20" ht="12.75" customHeight="1" x14ac:dyDescent="0.2">
      <c r="B11" s="86"/>
      <c r="C11" s="22"/>
      <c r="D11" s="303"/>
      <c r="E11" s="24"/>
      <c r="F11" s="25"/>
      <c r="G11" s="25"/>
      <c r="H11" s="306"/>
      <c r="I11" s="308"/>
      <c r="K11" s="37"/>
      <c r="L11" s="87"/>
      <c r="P11" s="79"/>
      <c r="Q11" s="79"/>
      <c r="R11" s="79"/>
      <c r="S11" s="79"/>
      <c r="T11" s="79"/>
    </row>
    <row r="12" spans="1:20" ht="12.75" customHeight="1" thickBot="1" x14ac:dyDescent="0.25">
      <c r="B12" s="88"/>
      <c r="C12" s="89"/>
      <c r="D12" s="304"/>
      <c r="E12" s="90"/>
      <c r="F12" s="91"/>
      <c r="G12" s="91"/>
      <c r="H12" s="307"/>
      <c r="I12" s="309"/>
      <c r="J12" s="36"/>
      <c r="K12" s="92"/>
      <c r="L12" s="93"/>
      <c r="P12" s="79"/>
      <c r="Q12" s="79"/>
      <c r="R12" s="79"/>
      <c r="S12" s="79"/>
      <c r="T12" s="79"/>
    </row>
    <row r="13" spans="1:20" ht="12.75" customHeight="1" x14ac:dyDescent="0.2">
      <c r="E13" s="34"/>
      <c r="F13" s="34"/>
      <c r="P13" s="79"/>
      <c r="Q13" s="79"/>
      <c r="R13" s="79"/>
      <c r="S13" s="79"/>
      <c r="T13" s="79"/>
    </row>
    <row r="14" spans="1:20" ht="12.75" customHeight="1" x14ac:dyDescent="0.2">
      <c r="E14" s="34"/>
      <c r="F14" s="34"/>
      <c r="P14" s="79"/>
      <c r="Q14" s="79"/>
      <c r="R14" s="79"/>
      <c r="S14" s="79"/>
      <c r="T14" s="79"/>
    </row>
    <row r="15" spans="1:20" s="11" customFormat="1" ht="5" customHeight="1" thickBot="1" x14ac:dyDescent="0.2">
      <c r="E15" s="12"/>
      <c r="F15" s="12"/>
    </row>
    <row r="16" spans="1:20" customFormat="1" ht="15.75" customHeight="1" thickBot="1" x14ac:dyDescent="0.25">
      <c r="A16" s="292" t="s">
        <v>273</v>
      </c>
      <c r="B16" s="293"/>
      <c r="C16" s="293"/>
      <c r="D16" s="293"/>
      <c r="E16" s="293"/>
      <c r="F16" s="293"/>
      <c r="G16" s="293"/>
      <c r="H16" s="293"/>
      <c r="I16" s="293"/>
      <c r="J16" s="293"/>
      <c r="K16" s="293"/>
      <c r="L16" s="293"/>
      <c r="M16" s="294"/>
    </row>
    <row r="17" spans="1:15" customFormat="1" ht="15.75" customHeight="1" x14ac:dyDescent="0.2">
      <c r="A17" s="11"/>
      <c r="B17" s="11"/>
      <c r="C17" s="11"/>
      <c r="D17" s="11"/>
      <c r="E17" s="12"/>
      <c r="F17" s="12"/>
      <c r="G17" s="11"/>
      <c r="H17" s="11"/>
      <c r="I17" s="11"/>
      <c r="J17" s="11"/>
      <c r="K17" s="11"/>
      <c r="L17" s="11"/>
      <c r="M17" s="11"/>
    </row>
    <row r="18" spans="1:15" x14ac:dyDescent="0.15">
      <c r="A18" s="42" t="s">
        <v>217</v>
      </c>
      <c r="B18" s="43"/>
      <c r="C18" s="43"/>
      <c r="D18" s="44"/>
      <c r="E18" s="44"/>
      <c r="F18" s="44"/>
      <c r="G18" s="44"/>
      <c r="H18" s="44"/>
      <c r="I18" s="44"/>
      <c r="J18" s="44"/>
      <c r="K18" s="44"/>
      <c r="L18" s="43"/>
      <c r="M18" s="45"/>
    </row>
    <row r="19" spans="1:15" customFormat="1" ht="15.75" customHeight="1" x14ac:dyDescent="0.2">
      <c r="A19" s="11"/>
      <c r="B19" s="11"/>
      <c r="C19" s="11"/>
      <c r="D19" s="11"/>
      <c r="E19" s="12"/>
      <c r="F19" s="12"/>
      <c r="G19" s="11"/>
      <c r="H19" s="11"/>
      <c r="I19" s="11"/>
      <c r="J19" s="11"/>
      <c r="K19" s="11"/>
      <c r="L19" s="11"/>
      <c r="M19" s="11"/>
    </row>
    <row r="20" spans="1:15" customFormat="1" ht="15.75" customHeight="1" x14ac:dyDescent="0.2">
      <c r="A20" s="11"/>
      <c r="B20" s="18" t="s">
        <v>148</v>
      </c>
      <c r="C20" s="18" t="s">
        <v>151</v>
      </c>
      <c r="D20" s="19" t="s">
        <v>133</v>
      </c>
      <c r="E20" s="19" t="s">
        <v>163</v>
      </c>
      <c r="F20" s="11"/>
      <c r="G20" s="12"/>
      <c r="H20" s="12"/>
      <c r="I20" s="11"/>
      <c r="J20" s="11"/>
      <c r="K20" s="11"/>
      <c r="L20" s="11"/>
      <c r="M20" s="11"/>
      <c r="N20" s="11"/>
      <c r="O20" s="11"/>
    </row>
    <row r="21" spans="1:15" customFormat="1" ht="15.75" customHeight="1" x14ac:dyDescent="0.2">
      <c r="A21" s="11"/>
      <c r="B21" s="22" t="s">
        <v>50</v>
      </c>
      <c r="C21" s="22" t="s">
        <v>30</v>
      </c>
      <c r="D21" s="23"/>
      <c r="E21" s="24"/>
      <c r="F21" s="11"/>
      <c r="G21" s="12"/>
      <c r="H21" s="12"/>
      <c r="I21" s="11"/>
      <c r="J21" s="11"/>
      <c r="K21" s="11"/>
      <c r="L21" s="11"/>
      <c r="M21" s="11"/>
      <c r="N21" s="11"/>
      <c r="O21" s="11"/>
    </row>
    <row r="22" spans="1:15" customFormat="1" ht="15.75" customHeight="1" x14ac:dyDescent="0.2">
      <c r="A22" s="11"/>
      <c r="B22" s="22" t="s">
        <v>51</v>
      </c>
      <c r="C22" s="22" t="s">
        <v>31</v>
      </c>
      <c r="D22" s="23"/>
      <c r="E22" s="24"/>
      <c r="F22" s="11"/>
      <c r="G22" s="12"/>
      <c r="H22" s="12"/>
      <c r="I22" s="11"/>
      <c r="J22" s="11"/>
      <c r="K22" s="11"/>
      <c r="L22" s="11"/>
      <c r="M22" s="11"/>
      <c r="N22" s="11"/>
      <c r="O22" s="11"/>
    </row>
    <row r="23" spans="1:15" customFormat="1" ht="15.75" customHeight="1" x14ac:dyDescent="0.2">
      <c r="A23" s="11"/>
      <c r="B23" s="22" t="s">
        <v>52</v>
      </c>
      <c r="C23" s="22" t="s">
        <v>33</v>
      </c>
      <c r="D23" s="23"/>
      <c r="E23" s="24"/>
      <c r="F23" s="11"/>
      <c r="G23" s="12"/>
      <c r="H23" s="12"/>
      <c r="I23" s="11"/>
      <c r="J23" s="11"/>
      <c r="K23" s="11"/>
      <c r="L23" s="11"/>
      <c r="M23" s="11"/>
      <c r="N23" s="11"/>
      <c r="O23" s="11"/>
    </row>
    <row r="24" spans="1:15" customFormat="1" ht="15.75" customHeight="1" x14ac:dyDescent="0.2">
      <c r="A24" s="11"/>
      <c r="B24" s="22" t="s">
        <v>53</v>
      </c>
      <c r="C24" s="22" t="s">
        <v>31</v>
      </c>
      <c r="D24" s="23"/>
      <c r="E24" s="24"/>
      <c r="F24" s="11"/>
      <c r="G24" s="12"/>
      <c r="H24" s="12"/>
      <c r="I24" s="11"/>
      <c r="J24" s="11"/>
      <c r="K24" s="11"/>
      <c r="L24" s="11"/>
      <c r="M24" s="11"/>
      <c r="N24" s="11"/>
      <c r="O24" s="11"/>
    </row>
    <row r="25" spans="1:15" customFormat="1" ht="15.75" customHeight="1" x14ac:dyDescent="0.2">
      <c r="A25" s="11"/>
      <c r="B25" s="22" t="s">
        <v>54</v>
      </c>
      <c r="C25" s="22" t="s">
        <v>32</v>
      </c>
      <c r="D25" s="23"/>
      <c r="E25" s="24"/>
      <c r="F25" s="11"/>
      <c r="G25" s="12"/>
      <c r="H25" s="12"/>
      <c r="I25" s="11"/>
      <c r="J25" s="11"/>
      <c r="K25" s="11"/>
      <c r="L25" s="11"/>
      <c r="M25" s="11"/>
      <c r="N25" s="11"/>
      <c r="O25" s="11"/>
    </row>
    <row r="26" spans="1:15" customFormat="1" ht="15.75" customHeight="1" x14ac:dyDescent="0.2">
      <c r="A26" s="11"/>
      <c r="B26" s="22" t="s">
        <v>55</v>
      </c>
      <c r="C26" s="22" t="s">
        <v>30</v>
      </c>
      <c r="D26" s="23"/>
      <c r="E26" s="24"/>
      <c r="F26" s="11"/>
      <c r="G26" s="12"/>
      <c r="H26" s="12"/>
      <c r="I26" s="11"/>
      <c r="J26" s="11"/>
      <c r="K26" s="11"/>
      <c r="L26" s="11"/>
      <c r="M26" s="11"/>
      <c r="N26" s="11"/>
      <c r="O26" s="11"/>
    </row>
    <row r="27" spans="1:15" customFormat="1" ht="15.75" customHeight="1" x14ac:dyDescent="0.2">
      <c r="A27" s="11"/>
      <c r="B27" s="22" t="s">
        <v>56</v>
      </c>
      <c r="C27" s="22" t="s">
        <v>31</v>
      </c>
      <c r="D27" s="23"/>
      <c r="E27" s="24"/>
      <c r="F27" s="11"/>
      <c r="G27" s="12"/>
      <c r="H27" s="12"/>
      <c r="I27" s="11"/>
      <c r="J27" s="11"/>
      <c r="K27" s="11"/>
      <c r="L27" s="11"/>
      <c r="M27" s="11"/>
      <c r="N27" s="11"/>
      <c r="O27" s="11"/>
    </row>
    <row r="28" spans="1:15" customFormat="1" ht="15.75" customHeight="1" x14ac:dyDescent="0.2">
      <c r="A28" s="11"/>
      <c r="B28" s="22" t="s">
        <v>58</v>
      </c>
      <c r="C28" s="22" t="s">
        <v>32</v>
      </c>
      <c r="D28" s="23"/>
      <c r="E28" s="24"/>
      <c r="F28" s="11"/>
      <c r="G28" s="12"/>
      <c r="H28" s="12"/>
      <c r="I28" s="11"/>
      <c r="J28" s="11"/>
      <c r="K28" s="11"/>
      <c r="L28" s="11"/>
      <c r="M28" s="11"/>
      <c r="N28" s="11"/>
      <c r="O28" s="11"/>
    </row>
    <row r="29" spans="1:15" customFormat="1" ht="15.75" customHeight="1" x14ac:dyDescent="0.2">
      <c r="A29" s="11"/>
      <c r="B29" s="22" t="s">
        <v>59</v>
      </c>
      <c r="C29" s="22" t="s">
        <v>59</v>
      </c>
      <c r="D29" s="23"/>
      <c r="E29" s="24"/>
      <c r="F29" s="11"/>
      <c r="G29" s="12"/>
      <c r="H29" s="12"/>
      <c r="I29" s="11"/>
      <c r="J29" s="11"/>
      <c r="K29" s="11"/>
      <c r="L29" s="11"/>
      <c r="M29" s="11"/>
      <c r="N29" s="11"/>
      <c r="O29" s="11"/>
    </row>
    <row r="30" spans="1:15" customFormat="1" ht="15.75" customHeight="1" x14ac:dyDescent="0.2">
      <c r="A30" s="11"/>
      <c r="B30" s="22" t="s">
        <v>60</v>
      </c>
      <c r="C30" s="22" t="s">
        <v>32</v>
      </c>
      <c r="D30" s="23"/>
      <c r="E30" s="24"/>
      <c r="F30" s="11"/>
      <c r="G30" s="12"/>
      <c r="H30" s="12"/>
      <c r="I30" s="11"/>
      <c r="J30" s="11"/>
      <c r="K30" s="11"/>
      <c r="L30" s="11"/>
      <c r="M30" s="11"/>
      <c r="N30" s="11"/>
      <c r="O30" s="11"/>
    </row>
    <row r="31" spans="1:15" customFormat="1" ht="15.75" customHeight="1" x14ac:dyDescent="0.2">
      <c r="A31" s="11"/>
      <c r="B31" s="22" t="s">
        <v>61</v>
      </c>
      <c r="C31" s="22" t="s">
        <v>32</v>
      </c>
      <c r="D31" s="23"/>
      <c r="E31" s="24"/>
      <c r="F31" s="11"/>
      <c r="G31" s="12"/>
      <c r="H31" s="12"/>
      <c r="I31" s="11"/>
      <c r="J31" s="11"/>
      <c r="K31" s="11"/>
      <c r="L31" s="11"/>
      <c r="M31" s="11"/>
      <c r="N31" s="11"/>
      <c r="O31" s="11"/>
    </row>
    <row r="32" spans="1:15" customFormat="1" ht="15.75" customHeight="1" x14ac:dyDescent="0.2">
      <c r="A32" s="11"/>
      <c r="B32" s="22" t="s">
        <v>62</v>
      </c>
      <c r="C32" s="22" t="s">
        <v>32</v>
      </c>
      <c r="D32" s="23"/>
      <c r="E32" s="24"/>
      <c r="F32" s="11"/>
      <c r="G32" s="12"/>
      <c r="H32" s="12"/>
      <c r="I32" s="11"/>
      <c r="J32" s="11"/>
      <c r="K32" s="11"/>
      <c r="L32" s="11"/>
      <c r="M32" s="11"/>
      <c r="N32" s="11"/>
      <c r="O32" s="11"/>
    </row>
    <row r="33" spans="1:15" customFormat="1" ht="15.75" customHeight="1" x14ac:dyDescent="0.2">
      <c r="A33" s="11"/>
      <c r="B33" s="22" t="s">
        <v>63</v>
      </c>
      <c r="C33" s="22" t="s">
        <v>31</v>
      </c>
      <c r="D33" s="23"/>
      <c r="E33" s="24"/>
      <c r="F33" s="11"/>
      <c r="G33" s="12"/>
      <c r="H33" s="12"/>
      <c r="I33" s="11"/>
      <c r="J33" s="11"/>
      <c r="K33" s="11"/>
      <c r="L33" s="11"/>
      <c r="M33" s="11"/>
      <c r="N33" s="11"/>
      <c r="O33" s="11"/>
    </row>
    <row r="34" spans="1:15" customFormat="1" ht="15.75" customHeight="1" x14ac:dyDescent="0.2">
      <c r="A34" s="11"/>
      <c r="B34" s="22" t="s">
        <v>64</v>
      </c>
      <c r="C34" s="22" t="s">
        <v>32</v>
      </c>
      <c r="D34" s="23"/>
      <c r="E34" s="24"/>
      <c r="F34" s="11"/>
      <c r="G34" s="12"/>
      <c r="H34" s="12"/>
      <c r="I34" s="11"/>
      <c r="J34" s="11"/>
      <c r="K34" s="11"/>
      <c r="L34" s="11"/>
      <c r="M34" s="11"/>
      <c r="N34" s="11"/>
      <c r="O34" s="11"/>
    </row>
    <row r="35" spans="1:15" customFormat="1" ht="15.75" customHeight="1" x14ac:dyDescent="0.2">
      <c r="A35" s="11"/>
      <c r="B35" s="22" t="s">
        <v>65</v>
      </c>
      <c r="C35" s="22" t="s">
        <v>31</v>
      </c>
      <c r="D35" s="23"/>
      <c r="E35" s="24"/>
      <c r="F35" s="11"/>
      <c r="G35" s="12"/>
      <c r="H35" s="12"/>
      <c r="I35" s="11"/>
      <c r="J35" s="11"/>
      <c r="K35" s="11"/>
      <c r="L35" s="11"/>
      <c r="M35" s="11"/>
      <c r="N35" s="11"/>
      <c r="O35" s="11"/>
    </row>
    <row r="36" spans="1:15" customFormat="1" ht="15.75" customHeight="1" x14ac:dyDescent="0.2">
      <c r="A36" s="11"/>
      <c r="B36" s="22" t="s">
        <v>66</v>
      </c>
      <c r="C36" s="22" t="s">
        <v>32</v>
      </c>
      <c r="D36" s="23"/>
      <c r="E36" s="24"/>
      <c r="F36" s="11"/>
      <c r="G36" s="12"/>
      <c r="H36" s="12"/>
      <c r="I36" s="11"/>
      <c r="J36" s="11"/>
      <c r="K36" s="11"/>
      <c r="L36" s="11"/>
      <c r="M36" s="11"/>
      <c r="N36" s="11"/>
      <c r="O36" s="11"/>
    </row>
    <row r="37" spans="1:15" customFormat="1" ht="15.75" customHeight="1" x14ac:dyDescent="0.2">
      <c r="A37" s="11"/>
      <c r="B37" s="22" t="s">
        <v>67</v>
      </c>
      <c r="C37" s="22" t="s">
        <v>31</v>
      </c>
      <c r="D37" s="23"/>
      <c r="E37" s="24"/>
      <c r="F37" s="11"/>
      <c r="G37" s="12"/>
      <c r="H37" s="12"/>
      <c r="I37" s="11"/>
      <c r="J37" s="11"/>
      <c r="K37" s="11"/>
      <c r="L37" s="11"/>
      <c r="M37" s="11"/>
      <c r="N37" s="11"/>
      <c r="O37" s="11"/>
    </row>
    <row r="38" spans="1:15" customFormat="1" ht="15.75" customHeight="1" x14ac:dyDescent="0.2">
      <c r="A38" s="11"/>
      <c r="B38" s="22" t="s">
        <v>68</v>
      </c>
      <c r="C38" s="22" t="s">
        <v>30</v>
      </c>
      <c r="D38" s="23"/>
      <c r="E38" s="24"/>
      <c r="F38" s="11"/>
      <c r="G38" s="12"/>
      <c r="H38" s="12"/>
      <c r="I38" s="11"/>
      <c r="J38" s="11"/>
      <c r="K38" s="11"/>
      <c r="L38" s="11"/>
      <c r="M38" s="11"/>
      <c r="N38" s="11"/>
      <c r="O38" s="11"/>
    </row>
    <row r="39" spans="1:15" customFormat="1" ht="15.75" customHeight="1" x14ac:dyDescent="0.2">
      <c r="A39" s="11"/>
      <c r="B39" s="22" t="s">
        <v>69</v>
      </c>
      <c r="C39" s="22" t="s">
        <v>31</v>
      </c>
      <c r="D39" s="23"/>
      <c r="E39" s="24"/>
      <c r="F39" s="11"/>
      <c r="G39" s="12"/>
      <c r="H39" s="12"/>
      <c r="I39" s="11"/>
      <c r="J39" s="11"/>
      <c r="K39" s="11"/>
      <c r="L39" s="11"/>
      <c r="M39" s="11"/>
      <c r="N39" s="11"/>
      <c r="O39" s="11"/>
    </row>
    <row r="40" spans="1:15" customFormat="1" ht="15.75" customHeight="1" x14ac:dyDescent="0.2">
      <c r="A40" s="11"/>
      <c r="B40" s="22" t="s">
        <v>70</v>
      </c>
      <c r="C40" s="22" t="s">
        <v>30</v>
      </c>
      <c r="D40" s="23"/>
      <c r="E40" s="24"/>
      <c r="F40" s="11"/>
      <c r="G40" s="12"/>
      <c r="H40" s="12"/>
      <c r="I40" s="11"/>
      <c r="J40" s="11"/>
      <c r="K40" s="11"/>
      <c r="L40" s="11"/>
      <c r="M40" s="11"/>
      <c r="N40" s="11"/>
      <c r="O40" s="11"/>
    </row>
    <row r="41" spans="1:15" customFormat="1" ht="15.75" customHeight="1" x14ac:dyDescent="0.2">
      <c r="A41" s="11"/>
      <c r="B41" s="22" t="s">
        <v>150</v>
      </c>
      <c r="C41" s="22" t="s">
        <v>32</v>
      </c>
      <c r="D41" s="23"/>
      <c r="E41" s="24"/>
      <c r="F41" s="11"/>
      <c r="G41" s="12"/>
      <c r="H41" s="12"/>
      <c r="I41" s="11"/>
      <c r="J41" s="11"/>
      <c r="K41" s="11"/>
      <c r="L41" s="11"/>
      <c r="M41" s="11"/>
      <c r="N41" s="11"/>
      <c r="O41" s="11"/>
    </row>
    <row r="42" spans="1:15" customFormat="1" ht="15.75" customHeight="1" x14ac:dyDescent="0.2">
      <c r="A42" s="11"/>
      <c r="B42" s="22" t="s">
        <v>71</v>
      </c>
      <c r="C42" s="22" t="s">
        <v>32</v>
      </c>
      <c r="D42" s="23"/>
      <c r="E42" s="24"/>
      <c r="F42" s="11"/>
      <c r="G42" s="12"/>
      <c r="H42" s="12"/>
      <c r="I42" s="11"/>
      <c r="J42" s="11"/>
      <c r="K42" s="11"/>
      <c r="L42" s="11"/>
      <c r="M42" s="11"/>
      <c r="N42" s="11"/>
      <c r="O42" s="11"/>
    </row>
    <row r="43" spans="1:15" customFormat="1" ht="15.75" customHeight="1" x14ac:dyDescent="0.2">
      <c r="A43" s="11"/>
      <c r="B43" s="22" t="s">
        <v>73</v>
      </c>
      <c r="C43" s="22" t="s">
        <v>29</v>
      </c>
      <c r="D43" s="23"/>
      <c r="E43" s="24"/>
      <c r="F43" s="11"/>
      <c r="G43" s="12"/>
      <c r="H43" s="12"/>
      <c r="I43" s="11"/>
      <c r="J43" s="11"/>
      <c r="K43" s="11"/>
      <c r="L43" s="11"/>
      <c r="M43" s="11"/>
      <c r="N43" s="11"/>
      <c r="O43" s="11"/>
    </row>
    <row r="44" spans="1:15" customFormat="1" ht="15.75" customHeight="1" x14ac:dyDescent="0.2">
      <c r="A44" s="11"/>
      <c r="B44" s="22" t="s">
        <v>74</v>
      </c>
      <c r="C44" s="22" t="s">
        <v>31</v>
      </c>
      <c r="D44" s="23"/>
      <c r="E44" s="24"/>
      <c r="F44" s="11"/>
      <c r="G44" s="12"/>
      <c r="H44" s="12"/>
      <c r="I44" s="11"/>
      <c r="J44" s="11"/>
      <c r="K44" s="11"/>
      <c r="L44" s="11"/>
      <c r="M44" s="11"/>
      <c r="N44" s="11"/>
      <c r="O44" s="11"/>
    </row>
    <row r="45" spans="1:15" customFormat="1" ht="15.75" customHeight="1" x14ac:dyDescent="0.2">
      <c r="A45" s="11"/>
      <c r="B45" s="22" t="s">
        <v>143</v>
      </c>
      <c r="C45" s="22" t="s">
        <v>32</v>
      </c>
      <c r="D45" s="23"/>
      <c r="E45" s="24"/>
      <c r="F45" s="11"/>
      <c r="G45" s="12"/>
      <c r="H45" s="12"/>
      <c r="I45" s="11"/>
      <c r="J45" s="11"/>
      <c r="K45" s="11"/>
      <c r="L45" s="11"/>
      <c r="M45" s="11"/>
      <c r="N45" s="11"/>
      <c r="O45" s="11"/>
    </row>
    <row r="46" spans="1:15" customFormat="1" ht="15.75" customHeight="1" x14ac:dyDescent="0.2">
      <c r="A46" s="11"/>
      <c r="B46" s="22" t="s">
        <v>75</v>
      </c>
      <c r="C46" s="22" t="s">
        <v>31</v>
      </c>
      <c r="D46" s="23"/>
      <c r="E46" s="24"/>
      <c r="F46" s="11"/>
      <c r="G46" s="12"/>
      <c r="H46" s="12"/>
      <c r="I46" s="11"/>
      <c r="J46" s="11"/>
      <c r="K46" s="11"/>
      <c r="L46" s="11"/>
      <c r="M46" s="11"/>
      <c r="N46" s="11"/>
      <c r="O46" s="11"/>
    </row>
    <row r="47" spans="1:15" customFormat="1" ht="15.75" customHeight="1" x14ac:dyDescent="0.2">
      <c r="A47" s="11"/>
      <c r="B47" s="22" t="s">
        <v>77</v>
      </c>
      <c r="C47" s="22" t="s">
        <v>33</v>
      </c>
      <c r="D47" s="23"/>
      <c r="E47" s="24"/>
      <c r="F47" s="11"/>
      <c r="G47" s="12"/>
      <c r="H47" s="12"/>
      <c r="I47" s="11"/>
      <c r="J47" s="11"/>
      <c r="K47" s="11"/>
      <c r="L47" s="11"/>
      <c r="M47" s="11"/>
      <c r="N47" s="11"/>
      <c r="O47" s="11"/>
    </row>
    <row r="48" spans="1:15" customFormat="1" ht="15.75" customHeight="1" x14ac:dyDescent="0.2">
      <c r="A48" s="11"/>
      <c r="B48" s="22" t="s">
        <v>78</v>
      </c>
      <c r="C48" s="22" t="s">
        <v>32</v>
      </c>
      <c r="D48" s="23"/>
      <c r="E48" s="24"/>
      <c r="F48" s="11"/>
      <c r="G48" s="12"/>
      <c r="H48" s="12"/>
      <c r="I48" s="11"/>
      <c r="J48" s="11"/>
      <c r="K48" s="11"/>
      <c r="L48" s="11"/>
      <c r="M48" s="11"/>
      <c r="N48" s="11"/>
      <c r="O48" s="11"/>
    </row>
    <row r="49" spans="1:15" customFormat="1" ht="15.75" customHeight="1" x14ac:dyDescent="0.2">
      <c r="A49" s="11"/>
      <c r="B49" s="22" t="s">
        <v>79</v>
      </c>
      <c r="C49" s="22" t="s">
        <v>32</v>
      </c>
      <c r="D49" s="23"/>
      <c r="E49" s="24"/>
      <c r="F49" s="11"/>
      <c r="G49" s="12"/>
      <c r="H49" s="12"/>
      <c r="I49" s="11"/>
      <c r="J49" s="11"/>
      <c r="K49" s="11"/>
      <c r="L49" s="11"/>
      <c r="M49" s="11"/>
      <c r="N49" s="11"/>
      <c r="O49" s="11"/>
    </row>
    <row r="50" spans="1:15" customFormat="1" ht="15.75" customHeight="1" x14ac:dyDescent="0.2">
      <c r="A50" s="11"/>
      <c r="B50" s="22" t="s">
        <v>80</v>
      </c>
      <c r="C50" s="22" t="s">
        <v>32</v>
      </c>
      <c r="D50" s="23"/>
      <c r="E50" s="24"/>
      <c r="F50" s="11"/>
      <c r="G50" s="12"/>
      <c r="H50" s="12"/>
      <c r="I50" s="11"/>
      <c r="J50" s="11"/>
      <c r="K50" s="11"/>
      <c r="L50" s="11"/>
      <c r="M50" s="11"/>
      <c r="N50" s="11"/>
      <c r="O50" s="11"/>
    </row>
    <row r="51" spans="1:15" customFormat="1" ht="15.75" customHeight="1" x14ac:dyDescent="0.2">
      <c r="A51" s="11"/>
      <c r="B51" s="22" t="s">
        <v>81</v>
      </c>
      <c r="C51" s="22" t="s">
        <v>30</v>
      </c>
      <c r="D51" s="23"/>
      <c r="E51" s="24"/>
      <c r="F51" s="11"/>
      <c r="G51" s="12"/>
      <c r="H51" s="12"/>
      <c r="I51" s="11"/>
      <c r="J51" s="11"/>
      <c r="K51" s="11"/>
      <c r="L51" s="11"/>
      <c r="M51" s="11"/>
      <c r="N51" s="11"/>
      <c r="O51" s="11"/>
    </row>
    <row r="52" spans="1:15" customFormat="1" ht="15.75" customHeight="1" x14ac:dyDescent="0.2">
      <c r="A52" s="11"/>
      <c r="B52" s="22" t="s">
        <v>82</v>
      </c>
      <c r="C52" s="22" t="s">
        <v>32</v>
      </c>
      <c r="D52" s="23"/>
      <c r="E52" s="24"/>
      <c r="F52" s="11"/>
      <c r="G52" s="12"/>
      <c r="H52" s="12"/>
      <c r="I52" s="11"/>
      <c r="J52" s="11"/>
      <c r="K52" s="11"/>
      <c r="L52" s="11"/>
      <c r="M52" s="11"/>
      <c r="N52" s="11"/>
      <c r="O52" s="11"/>
    </row>
    <row r="53" spans="1:15" customFormat="1" ht="15.75" customHeight="1" x14ac:dyDescent="0.2">
      <c r="A53" s="11"/>
      <c r="B53" s="22" t="s">
        <v>83</v>
      </c>
      <c r="C53" s="22" t="s">
        <v>32</v>
      </c>
      <c r="D53" s="23"/>
      <c r="E53" s="24"/>
      <c r="F53" s="11"/>
      <c r="G53" s="12"/>
      <c r="H53" s="12"/>
      <c r="I53" s="11"/>
      <c r="J53" s="11"/>
      <c r="K53" s="11"/>
      <c r="L53" s="11"/>
      <c r="M53" s="11"/>
      <c r="N53" s="11"/>
      <c r="O53" s="11"/>
    </row>
    <row r="54" spans="1:15" customFormat="1" ht="15.75" customHeight="1" x14ac:dyDescent="0.2">
      <c r="A54" s="11"/>
      <c r="B54" s="22" t="s">
        <v>84</v>
      </c>
      <c r="C54" s="22" t="s">
        <v>31</v>
      </c>
      <c r="D54" s="23"/>
      <c r="E54" s="24"/>
      <c r="F54" s="11"/>
      <c r="G54" s="12"/>
      <c r="H54" s="12"/>
      <c r="I54" s="11"/>
      <c r="J54" s="11"/>
      <c r="K54" s="11"/>
      <c r="L54" s="11"/>
      <c r="M54" s="11"/>
      <c r="N54" s="11"/>
      <c r="O54" s="11"/>
    </row>
    <row r="55" spans="1:15" customFormat="1" ht="15.75" customHeight="1" x14ac:dyDescent="0.2">
      <c r="A55" s="11"/>
      <c r="B55" s="22" t="s">
        <v>85</v>
      </c>
      <c r="C55" s="22" t="s">
        <v>32</v>
      </c>
      <c r="D55" s="23"/>
      <c r="E55" s="24"/>
      <c r="F55" s="11"/>
      <c r="G55" s="12"/>
      <c r="H55" s="12"/>
      <c r="I55" s="11"/>
      <c r="J55" s="11"/>
      <c r="K55" s="11"/>
      <c r="L55" s="11"/>
      <c r="M55" s="11"/>
      <c r="N55" s="11"/>
      <c r="O55" s="11"/>
    </row>
    <row r="56" spans="1:15" customFormat="1" ht="15.75" customHeight="1" x14ac:dyDescent="0.2">
      <c r="A56" s="11"/>
      <c r="B56" s="22" t="s">
        <v>86</v>
      </c>
      <c r="C56" s="22" t="s">
        <v>31</v>
      </c>
      <c r="D56" s="23"/>
      <c r="E56" s="24"/>
      <c r="F56" s="11"/>
      <c r="G56" s="12"/>
      <c r="H56" s="12"/>
      <c r="I56" s="11"/>
      <c r="J56" s="11"/>
      <c r="K56" s="11"/>
      <c r="L56" s="11"/>
      <c r="M56" s="11"/>
      <c r="N56" s="11"/>
      <c r="O56" s="11"/>
    </row>
    <row r="57" spans="1:15" customFormat="1" ht="15.75" customHeight="1" x14ac:dyDescent="0.2">
      <c r="A57" s="11"/>
      <c r="B57" s="22" t="s">
        <v>87</v>
      </c>
      <c r="C57" s="22" t="s">
        <v>32</v>
      </c>
      <c r="D57" s="23"/>
      <c r="E57" s="24"/>
      <c r="F57" s="11"/>
      <c r="G57" s="12"/>
      <c r="H57" s="12"/>
      <c r="I57" s="11"/>
      <c r="J57" s="11"/>
      <c r="K57" s="11"/>
      <c r="L57" s="11"/>
      <c r="M57" s="11"/>
      <c r="N57" s="11"/>
      <c r="O57" s="11"/>
    </row>
    <row r="58" spans="1:15" customFormat="1" ht="15.75" customHeight="1" x14ac:dyDescent="0.2">
      <c r="A58" s="11"/>
      <c r="B58" s="22" t="s">
        <v>88</v>
      </c>
      <c r="C58" s="22" t="s">
        <v>32</v>
      </c>
      <c r="D58" s="23"/>
      <c r="E58" s="24"/>
      <c r="F58" s="11"/>
      <c r="G58" s="12"/>
      <c r="H58" s="12"/>
      <c r="I58" s="11"/>
      <c r="J58" s="11"/>
      <c r="K58" s="11"/>
      <c r="L58" s="11"/>
      <c r="M58" s="11"/>
      <c r="N58" s="11"/>
      <c r="O58" s="11"/>
    </row>
    <row r="59" spans="1:15" customFormat="1" ht="15.75" customHeight="1" x14ac:dyDescent="0.2">
      <c r="A59" s="11"/>
      <c r="B59" s="22" t="s">
        <v>89</v>
      </c>
      <c r="C59" s="22" t="s">
        <v>32</v>
      </c>
      <c r="D59" s="23"/>
      <c r="E59" s="24"/>
      <c r="F59" s="11"/>
      <c r="G59" s="12"/>
      <c r="H59" s="12"/>
      <c r="I59" s="11"/>
      <c r="J59" s="11"/>
      <c r="K59" s="11"/>
      <c r="L59" s="11"/>
      <c r="M59" s="11"/>
      <c r="N59" s="11"/>
      <c r="O59" s="11"/>
    </row>
    <row r="60" spans="1:15" customFormat="1" ht="15.75" customHeight="1" x14ac:dyDescent="0.2">
      <c r="A60" s="11"/>
      <c r="B60" s="22" t="s">
        <v>90</v>
      </c>
      <c r="C60" s="22" t="s">
        <v>31</v>
      </c>
      <c r="D60" s="23"/>
      <c r="E60" s="24"/>
      <c r="F60" s="11"/>
      <c r="G60" s="12"/>
      <c r="H60" s="12"/>
      <c r="I60" s="11"/>
      <c r="J60" s="11"/>
      <c r="K60" s="11"/>
      <c r="L60" s="11"/>
      <c r="M60" s="11"/>
      <c r="N60" s="11"/>
      <c r="O60" s="11"/>
    </row>
    <row r="61" spans="1:15" customFormat="1" ht="15.75" customHeight="1" x14ac:dyDescent="0.2">
      <c r="A61" s="11"/>
      <c r="B61" s="22" t="s">
        <v>92</v>
      </c>
      <c r="C61" s="22" t="s">
        <v>32</v>
      </c>
      <c r="D61" s="23"/>
      <c r="E61" s="24"/>
      <c r="F61" s="11"/>
      <c r="G61" s="12"/>
      <c r="H61" s="12"/>
      <c r="I61" s="11"/>
      <c r="J61" s="11"/>
      <c r="K61" s="11"/>
      <c r="L61" s="11"/>
      <c r="M61" s="11"/>
      <c r="N61" s="11"/>
      <c r="O61" s="11"/>
    </row>
    <row r="62" spans="1:15" customFormat="1" ht="15.75" customHeight="1" x14ac:dyDescent="0.2">
      <c r="A62" s="11"/>
      <c r="B62" s="22" t="s">
        <v>93</v>
      </c>
      <c r="C62" s="22" t="s">
        <v>32</v>
      </c>
      <c r="D62" s="23"/>
      <c r="E62" s="24"/>
      <c r="F62" s="11"/>
      <c r="G62" s="12"/>
      <c r="H62" s="12"/>
      <c r="I62" s="11"/>
      <c r="J62" s="11"/>
      <c r="K62" s="11"/>
      <c r="L62" s="11"/>
      <c r="M62" s="11"/>
      <c r="N62" s="11"/>
      <c r="O62" s="11"/>
    </row>
    <row r="63" spans="1:15" customFormat="1" ht="15.75" customHeight="1" x14ac:dyDescent="0.2">
      <c r="A63" s="11"/>
      <c r="B63" s="22" t="s">
        <v>94</v>
      </c>
      <c r="C63" s="22" t="s">
        <v>29</v>
      </c>
      <c r="D63" s="23"/>
      <c r="E63" s="24"/>
      <c r="F63" s="11"/>
      <c r="G63" s="12"/>
      <c r="H63" s="12"/>
      <c r="I63" s="11"/>
      <c r="J63" s="11"/>
      <c r="K63" s="11"/>
      <c r="L63" s="11"/>
      <c r="M63" s="11"/>
      <c r="N63" s="11"/>
      <c r="O63" s="11"/>
    </row>
    <row r="64" spans="1:15" customFormat="1" ht="15.75" customHeight="1" x14ac:dyDescent="0.2">
      <c r="A64" s="11"/>
      <c r="B64" s="22" t="s">
        <v>95</v>
      </c>
      <c r="C64" s="22" t="s">
        <v>31</v>
      </c>
      <c r="D64" s="23"/>
      <c r="E64" s="24"/>
      <c r="F64" s="11"/>
      <c r="G64" s="12"/>
      <c r="H64" s="12"/>
      <c r="I64" s="11"/>
      <c r="J64" s="11"/>
      <c r="K64" s="11"/>
      <c r="L64" s="11"/>
      <c r="M64" s="11"/>
      <c r="N64" s="11"/>
      <c r="O64" s="11"/>
    </row>
    <row r="65" spans="1:21" customFormat="1" ht="15.75" customHeight="1" x14ac:dyDescent="0.2">
      <c r="A65" s="11"/>
      <c r="B65" s="22" t="s">
        <v>96</v>
      </c>
      <c r="C65" s="22" t="s">
        <v>31</v>
      </c>
      <c r="D65" s="23"/>
      <c r="E65" s="24"/>
      <c r="F65" s="11"/>
      <c r="G65" s="12"/>
      <c r="H65" s="12"/>
      <c r="I65" s="11"/>
      <c r="J65" s="11"/>
      <c r="K65" s="11"/>
      <c r="L65" s="11"/>
      <c r="M65" s="11"/>
      <c r="N65" s="11"/>
      <c r="O65" s="11"/>
    </row>
    <row r="66" spans="1:21" customFormat="1" ht="15.75" customHeight="1" x14ac:dyDescent="0.2">
      <c r="A66" s="11"/>
      <c r="B66" s="22" t="s">
        <v>97</v>
      </c>
      <c r="C66" s="22" t="s">
        <v>32</v>
      </c>
      <c r="D66" s="23"/>
      <c r="E66" s="24"/>
      <c r="F66" s="11"/>
      <c r="G66" s="12"/>
      <c r="H66" s="12"/>
      <c r="I66" s="11"/>
      <c r="J66" s="11"/>
      <c r="K66" s="11"/>
      <c r="L66" s="11"/>
      <c r="M66" s="11"/>
      <c r="N66" s="11"/>
      <c r="O66" s="11"/>
    </row>
    <row r="67" spans="1:21" customFormat="1" ht="15.75" customHeight="1" x14ac:dyDescent="0.2">
      <c r="A67" s="11"/>
      <c r="B67" s="22" t="s">
        <v>98</v>
      </c>
      <c r="C67" s="22" t="s">
        <v>32</v>
      </c>
      <c r="D67" s="23"/>
      <c r="E67" s="24"/>
      <c r="F67" s="11"/>
      <c r="G67" s="12"/>
      <c r="H67" s="12"/>
      <c r="I67" s="11"/>
      <c r="J67" s="11"/>
      <c r="K67" s="11"/>
      <c r="L67" s="11"/>
      <c r="M67" s="11"/>
      <c r="N67" s="11"/>
      <c r="O67" s="11"/>
    </row>
    <row r="68" spans="1:21" customFormat="1" ht="15.75" customHeight="1" x14ac:dyDescent="0.2">
      <c r="A68" s="11"/>
      <c r="B68" s="22" t="s">
        <v>99</v>
      </c>
      <c r="C68" s="22" t="s">
        <v>32</v>
      </c>
      <c r="D68" s="23"/>
      <c r="E68" s="24"/>
      <c r="F68" s="11"/>
      <c r="G68" s="12"/>
      <c r="H68" s="12"/>
      <c r="I68" s="11"/>
      <c r="J68" s="11"/>
      <c r="K68" s="11"/>
      <c r="L68" s="11"/>
      <c r="M68" s="11"/>
      <c r="N68" s="11"/>
      <c r="O68" s="11"/>
    </row>
    <row r="69" spans="1:21" customFormat="1" ht="15.75" customHeight="1" x14ac:dyDescent="0.2">
      <c r="A69" s="11"/>
      <c r="B69" s="22" t="s">
        <v>100</v>
      </c>
      <c r="C69" s="22" t="s">
        <v>31</v>
      </c>
      <c r="D69" s="23"/>
      <c r="E69" s="24"/>
      <c r="F69" s="11"/>
      <c r="G69" s="12"/>
      <c r="H69" s="12"/>
      <c r="I69" s="11"/>
      <c r="J69" s="11"/>
      <c r="K69" s="11"/>
      <c r="L69" s="11"/>
      <c r="M69" s="11"/>
      <c r="N69" s="11"/>
      <c r="O69" s="11"/>
    </row>
    <row r="70" spans="1:21" customFormat="1" ht="15.75" customHeight="1" x14ac:dyDescent="0.2">
      <c r="A70" s="11"/>
      <c r="B70" s="22" t="s">
        <v>144</v>
      </c>
      <c r="C70" s="22" t="s">
        <v>30</v>
      </c>
      <c r="D70" s="23"/>
      <c r="E70" s="24"/>
      <c r="F70" s="11"/>
      <c r="G70" s="12"/>
      <c r="H70" s="12"/>
      <c r="I70" s="11"/>
      <c r="J70" s="11"/>
      <c r="K70" s="11"/>
      <c r="L70" s="11"/>
      <c r="M70" s="11"/>
      <c r="N70" s="11"/>
      <c r="O70" s="11"/>
    </row>
    <row r="71" spans="1:21" customFormat="1" ht="15.75" customHeight="1" x14ac:dyDescent="0.2">
      <c r="A71" s="11"/>
      <c r="B71" s="73" t="s">
        <v>164</v>
      </c>
      <c r="C71" s="22" t="s">
        <v>32</v>
      </c>
      <c r="D71" s="23"/>
      <c r="E71" s="74" t="s">
        <v>283</v>
      </c>
      <c r="F71" s="11"/>
      <c r="G71" s="12"/>
      <c r="H71" s="12"/>
      <c r="I71" s="11"/>
      <c r="J71" s="11"/>
      <c r="K71" s="11"/>
      <c r="L71" s="11"/>
      <c r="M71" s="11"/>
      <c r="N71" s="11"/>
      <c r="O71" s="11"/>
    </row>
    <row r="72" spans="1:21" customFormat="1" ht="15.75" customHeight="1" x14ac:dyDescent="0.2">
      <c r="A72" s="11"/>
      <c r="B72" s="73" t="s">
        <v>164</v>
      </c>
      <c r="C72" s="22" t="s">
        <v>30</v>
      </c>
      <c r="D72" s="23"/>
      <c r="E72" s="74" t="s">
        <v>283</v>
      </c>
      <c r="F72" s="11"/>
      <c r="G72" s="12"/>
      <c r="H72" s="12"/>
      <c r="I72" s="11"/>
      <c r="J72" s="11"/>
      <c r="K72" s="11"/>
      <c r="L72" s="11"/>
      <c r="M72" s="11"/>
      <c r="N72" s="11"/>
      <c r="O72" s="11"/>
    </row>
    <row r="73" spans="1:21" customFormat="1" ht="15.75" customHeight="1" x14ac:dyDescent="0.2">
      <c r="A73" s="11"/>
      <c r="B73" s="73" t="s">
        <v>164</v>
      </c>
      <c r="C73" s="22" t="s">
        <v>29</v>
      </c>
      <c r="D73" s="23"/>
      <c r="E73" s="74" t="s">
        <v>283</v>
      </c>
      <c r="F73" s="11"/>
      <c r="G73" s="12"/>
      <c r="H73" s="12"/>
      <c r="I73" s="11"/>
      <c r="J73" s="11"/>
      <c r="K73" s="11"/>
      <c r="L73" s="11"/>
      <c r="M73" s="11"/>
      <c r="N73" s="11"/>
      <c r="O73" s="11"/>
    </row>
    <row r="74" spans="1:21" customFormat="1" ht="15.75" customHeight="1" x14ac:dyDescent="0.2">
      <c r="A74" s="11"/>
      <c r="B74" s="73" t="s">
        <v>164</v>
      </c>
      <c r="C74" s="22" t="s">
        <v>31</v>
      </c>
      <c r="D74" s="23"/>
      <c r="E74" s="74" t="s">
        <v>283</v>
      </c>
      <c r="F74" s="11"/>
      <c r="G74" s="12"/>
      <c r="H74" s="12"/>
      <c r="I74" s="11"/>
      <c r="J74" s="11"/>
      <c r="K74" s="11"/>
      <c r="L74" s="11"/>
      <c r="M74" s="11"/>
      <c r="N74" s="11"/>
      <c r="O74" s="11"/>
    </row>
    <row r="75" spans="1:21" customFormat="1" ht="15.75" customHeight="1" x14ac:dyDescent="0.2">
      <c r="A75" s="11"/>
      <c r="B75" s="73" t="s">
        <v>164</v>
      </c>
      <c r="C75" s="22" t="s">
        <v>33</v>
      </c>
      <c r="D75" s="23"/>
      <c r="E75" s="74" t="s">
        <v>283</v>
      </c>
      <c r="F75" s="11"/>
      <c r="G75" s="12"/>
      <c r="H75" s="12"/>
      <c r="I75" s="11"/>
      <c r="J75" s="11"/>
      <c r="K75" s="11"/>
      <c r="L75" s="11"/>
      <c r="M75" s="11"/>
      <c r="N75" s="11"/>
      <c r="O75" s="11"/>
    </row>
    <row r="76" spans="1:21" customFormat="1" ht="15.75" customHeight="1" x14ac:dyDescent="0.2">
      <c r="A76" s="11"/>
      <c r="B76" s="11"/>
      <c r="C76" s="11"/>
      <c r="D76" s="11"/>
      <c r="E76" s="12"/>
      <c r="F76" s="12"/>
      <c r="G76" s="11"/>
      <c r="H76" s="11"/>
      <c r="I76" s="11"/>
      <c r="J76" s="11"/>
      <c r="K76" s="11"/>
      <c r="L76" s="11"/>
      <c r="M76" s="11"/>
    </row>
    <row r="77" spans="1:21" customFormat="1" ht="5" customHeight="1" x14ac:dyDescent="0.2">
      <c r="A77" s="11"/>
      <c r="B77" s="11"/>
      <c r="C77" s="11"/>
      <c r="D77" s="11"/>
      <c r="E77" s="12"/>
      <c r="F77" s="12"/>
      <c r="G77" s="11"/>
      <c r="H77" s="11"/>
      <c r="I77" s="11"/>
      <c r="J77" s="11"/>
      <c r="K77" s="11"/>
      <c r="L77" s="11"/>
      <c r="M77" s="11"/>
    </row>
    <row r="78" spans="1:21" x14ac:dyDescent="0.15">
      <c r="A78" s="46" t="s">
        <v>239</v>
      </c>
      <c r="B78" s="43"/>
      <c r="C78" s="43"/>
      <c r="D78" s="44"/>
      <c r="E78" s="44"/>
      <c r="F78" s="44"/>
      <c r="G78" s="44"/>
      <c r="H78" s="44"/>
      <c r="I78" s="44"/>
      <c r="J78" s="44"/>
      <c r="K78" s="44"/>
      <c r="L78" s="43"/>
      <c r="M78" s="45"/>
    </row>
    <row r="79" spans="1:21" s="11" customFormat="1" ht="15" x14ac:dyDescent="0.2">
      <c r="B79" s="13"/>
      <c r="E79" s="12"/>
      <c r="F79" s="12"/>
      <c r="N79"/>
      <c r="O79"/>
      <c r="P79"/>
      <c r="Q79"/>
      <c r="R79"/>
      <c r="S79"/>
      <c r="T79"/>
    </row>
    <row r="80" spans="1:21" s="11" customFormat="1" ht="30" x14ac:dyDescent="0.2">
      <c r="B80" s="18" t="s">
        <v>45</v>
      </c>
      <c r="C80" s="18" t="s">
        <v>148</v>
      </c>
      <c r="D80" s="51" t="s">
        <v>133</v>
      </c>
      <c r="E80" s="19" t="s">
        <v>134</v>
      </c>
      <c r="F80" s="19" t="s">
        <v>242</v>
      </c>
      <c r="G80" s="19" t="s">
        <v>238</v>
      </c>
      <c r="H80" s="20" t="s">
        <v>223</v>
      </c>
      <c r="I80" s="21" t="s">
        <v>247</v>
      </c>
      <c r="J80" s="21" t="s">
        <v>28</v>
      </c>
      <c r="O80"/>
      <c r="P80"/>
      <c r="Q80"/>
      <c r="R80"/>
      <c r="S80"/>
      <c r="T80"/>
      <c r="U80"/>
    </row>
    <row r="81" spans="1:21" s="11" customFormat="1" ht="15" x14ac:dyDescent="0.2">
      <c r="B81" s="22" t="s">
        <v>147</v>
      </c>
      <c r="C81" s="22" t="s">
        <v>59</v>
      </c>
      <c r="D81" s="24">
        <f>SUMIFS(Tabelle37[Anzahl Flüge],Tabelle37[Region (Zuordnung)],Flugreisen_Scop33[[#This Row],[Zielland]])</f>
        <v>0</v>
      </c>
      <c r="E81" s="24">
        <v>800</v>
      </c>
      <c r="F81" s="24">
        <f>D81*Flugreisen_Scop33[[#This Row],[Annahme Entfernung 
(km / Jahr)]]*2</f>
        <v>0</v>
      </c>
      <c r="G81" s="25">
        <v>0.21099999999999999</v>
      </c>
      <c r="H81" s="26">
        <f t="shared" ref="H81:H86" si="0">+F81*G81</f>
        <v>0</v>
      </c>
      <c r="I81" s="246" t="s">
        <v>139</v>
      </c>
      <c r="J81" s="34" t="s">
        <v>248</v>
      </c>
      <c r="O81"/>
      <c r="P81"/>
      <c r="Q81"/>
      <c r="R81"/>
      <c r="S81"/>
      <c r="T81"/>
      <c r="U81"/>
    </row>
    <row r="82" spans="1:21" s="11" customFormat="1" ht="15" x14ac:dyDescent="0.2">
      <c r="B82" s="22" t="s">
        <v>146</v>
      </c>
      <c r="C82" s="22" t="s">
        <v>32</v>
      </c>
      <c r="D82" s="24">
        <f>SUMIFS(Tabelle37[Anzahl Flüge],Tabelle37[Region (Zuordnung)],Flugreisen_Scop33[[#This Row],[Zielland]])</f>
        <v>0</v>
      </c>
      <c r="E82" s="24">
        <v>1500</v>
      </c>
      <c r="F82" s="24">
        <f>D82*Flugreisen_Scop33[[#This Row],[Annahme Entfernung 
(km / Jahr)]]*2</f>
        <v>0</v>
      </c>
      <c r="G82" s="25">
        <v>0.21099999999999999</v>
      </c>
      <c r="H82" s="26">
        <f t="shared" si="0"/>
        <v>0</v>
      </c>
      <c r="I82" s="246" t="s">
        <v>138</v>
      </c>
      <c r="J82" s="34" t="s">
        <v>248</v>
      </c>
      <c r="O82"/>
      <c r="P82"/>
      <c r="Q82"/>
      <c r="R82"/>
      <c r="S82"/>
      <c r="T82"/>
      <c r="U82"/>
    </row>
    <row r="83" spans="1:21" s="11" customFormat="1" ht="15" x14ac:dyDescent="0.2">
      <c r="B83" s="22" t="s">
        <v>146</v>
      </c>
      <c r="C83" s="22" t="s">
        <v>30</v>
      </c>
      <c r="D83" s="24">
        <f>SUMIFS(Tabelle37[Anzahl Flüge],Tabelle37[Region (Zuordnung)],Flugreisen_Scop33[[#This Row],[Zielland]])</f>
        <v>0</v>
      </c>
      <c r="E83" s="24">
        <v>8000</v>
      </c>
      <c r="F83" s="24">
        <f>D83*Flugreisen_Scop33[[#This Row],[Annahme Entfernung 
(km / Jahr)]]*2</f>
        <v>0</v>
      </c>
      <c r="G83" s="25">
        <v>0.21299999999999999</v>
      </c>
      <c r="H83" s="26">
        <f t="shared" si="0"/>
        <v>0</v>
      </c>
      <c r="I83" s="246" t="s">
        <v>136</v>
      </c>
      <c r="J83" s="34" t="s">
        <v>248</v>
      </c>
      <c r="O83"/>
      <c r="P83"/>
      <c r="Q83"/>
      <c r="R83"/>
      <c r="S83"/>
      <c r="T83"/>
      <c r="U83"/>
    </row>
    <row r="84" spans="1:21" s="11" customFormat="1" ht="15" x14ac:dyDescent="0.2">
      <c r="B84" s="22" t="s">
        <v>146</v>
      </c>
      <c r="C84" s="22" t="s">
        <v>29</v>
      </c>
      <c r="D84" s="24">
        <f>SUMIFS(Tabelle37[Anzahl Flüge],Tabelle37[Region (Zuordnung)],Flugreisen_Scop33[[#This Row],[Zielland]])</f>
        <v>0</v>
      </c>
      <c r="E84" s="24">
        <v>14000</v>
      </c>
      <c r="F84" s="24">
        <f>D84*Flugreisen_Scop33[[#This Row],[Annahme Entfernung 
(km / Jahr)]]*2</f>
        <v>0</v>
      </c>
      <c r="G84" s="25">
        <v>0.21299999999999999</v>
      </c>
      <c r="H84" s="26">
        <f t="shared" si="0"/>
        <v>0</v>
      </c>
      <c r="I84" s="246" t="s">
        <v>137</v>
      </c>
      <c r="J84" s="34" t="s">
        <v>248</v>
      </c>
      <c r="O84"/>
      <c r="P84"/>
      <c r="Q84"/>
      <c r="R84"/>
      <c r="S84"/>
      <c r="T84"/>
      <c r="U84"/>
    </row>
    <row r="85" spans="1:21" s="11" customFormat="1" ht="15" x14ac:dyDescent="0.2">
      <c r="B85" s="22" t="s">
        <v>146</v>
      </c>
      <c r="C85" s="22" t="s">
        <v>31</v>
      </c>
      <c r="D85" s="24">
        <f>SUMIFS(Tabelle37[Anzahl Flüge],Tabelle37[Region (Zuordnung)],Flugreisen_Scop33[[#This Row],[Zielland]])</f>
        <v>0</v>
      </c>
      <c r="E85" s="24">
        <v>10000</v>
      </c>
      <c r="F85" s="24">
        <f>D85*Flugreisen_Scop33[[#This Row],[Annahme Entfernung 
(km / Jahr)]]*2</f>
        <v>0</v>
      </c>
      <c r="G85" s="25">
        <v>0.21299999999999999</v>
      </c>
      <c r="H85" s="26">
        <f>+F85*G85</f>
        <v>0</v>
      </c>
      <c r="I85" s="246" t="s">
        <v>140</v>
      </c>
      <c r="J85" s="34" t="s">
        <v>248</v>
      </c>
      <c r="O85"/>
      <c r="P85"/>
      <c r="Q85"/>
      <c r="R85"/>
      <c r="S85"/>
      <c r="T85"/>
      <c r="U85"/>
    </row>
    <row r="86" spans="1:21" s="11" customFormat="1" ht="15" x14ac:dyDescent="0.2">
      <c r="B86" s="22" t="s">
        <v>146</v>
      </c>
      <c r="C86" s="22" t="s">
        <v>33</v>
      </c>
      <c r="D86" s="24">
        <f>SUMIFS(Tabelle37[Anzahl Flüge],Tabelle37[Region (Zuordnung)],Flugreisen_Scop33[[#This Row],[Zielland]])</f>
        <v>0</v>
      </c>
      <c r="E86" s="24">
        <v>17000</v>
      </c>
      <c r="F86" s="24">
        <f>D86*Flugreisen_Scop33[[#This Row],[Annahme Entfernung 
(km / Jahr)]]*2</f>
        <v>0</v>
      </c>
      <c r="G86" s="25">
        <v>0.21299999999999999</v>
      </c>
      <c r="H86" s="26">
        <f t="shared" si="0"/>
        <v>0</v>
      </c>
      <c r="I86" s="246" t="s">
        <v>142</v>
      </c>
      <c r="J86" s="34" t="s">
        <v>248</v>
      </c>
      <c r="O86"/>
      <c r="P86"/>
      <c r="Q86"/>
      <c r="R86"/>
      <c r="S86"/>
      <c r="T86"/>
      <c r="U86"/>
    </row>
    <row r="87" spans="1:21" s="11" customFormat="1" ht="15" x14ac:dyDescent="0.2">
      <c r="B87" s="28" t="s">
        <v>47</v>
      </c>
      <c r="C87" s="29"/>
      <c r="D87" s="29">
        <f>SUBTOTAL(109,Flugreisen_Scop33[Anzahl Flüge])</f>
        <v>0</v>
      </c>
      <c r="E87" s="29"/>
      <c r="F87" s="30">
        <f>SUM(Flugreisen_Scop33[Hin- &amp; Rückflug (km / Jahr)])</f>
        <v>0</v>
      </c>
      <c r="G87" s="2"/>
      <c r="H87" s="31">
        <f>SUBTOTAL(109,Flugreisen_Scop33[Ergebnis 
(kg CO2e / Jahr)])</f>
        <v>0</v>
      </c>
      <c r="I87" s="2"/>
      <c r="J87" s="2"/>
      <c r="O87"/>
      <c r="P87"/>
      <c r="Q87"/>
      <c r="R87"/>
      <c r="S87"/>
      <c r="T87"/>
      <c r="U87"/>
    </row>
    <row r="88" spans="1:21" s="11" customFormat="1" ht="15" x14ac:dyDescent="0.2">
      <c r="E88" s="12"/>
      <c r="F88" s="12"/>
      <c r="N88"/>
      <c r="O88"/>
      <c r="P88"/>
      <c r="Q88"/>
      <c r="R88"/>
      <c r="S88"/>
      <c r="T88"/>
    </row>
    <row r="89" spans="1:21" s="11" customFormat="1" ht="5" customHeight="1" x14ac:dyDescent="0.2">
      <c r="E89" s="12"/>
      <c r="F89" s="12"/>
      <c r="N89"/>
      <c r="O89"/>
      <c r="P89"/>
      <c r="Q89"/>
      <c r="R89"/>
      <c r="S89"/>
      <c r="T89"/>
    </row>
    <row r="90" spans="1:21" x14ac:dyDescent="0.15">
      <c r="A90" s="46" t="s">
        <v>216</v>
      </c>
      <c r="B90" s="43"/>
      <c r="C90" s="43"/>
      <c r="D90" s="44"/>
      <c r="E90" s="44"/>
      <c r="F90" s="44"/>
      <c r="G90" s="44"/>
      <c r="H90" s="44"/>
      <c r="I90" s="44"/>
      <c r="J90" s="44"/>
      <c r="K90" s="44"/>
      <c r="L90" s="43"/>
      <c r="M90" s="45"/>
    </row>
    <row r="91" spans="1:21" x14ac:dyDescent="0.15">
      <c r="B91" s="27"/>
      <c r="C91" s="47"/>
      <c r="D91" s="47"/>
      <c r="E91" s="47"/>
      <c r="F91" s="47"/>
    </row>
    <row r="92" spans="1:21" ht="30" x14ac:dyDescent="0.2">
      <c r="B92" s="18" t="s">
        <v>160</v>
      </c>
      <c r="C92" s="48" t="s">
        <v>154</v>
      </c>
      <c r="D92" s="51" t="s">
        <v>153</v>
      </c>
      <c r="E92" s="19" t="s">
        <v>134</v>
      </c>
      <c r="F92" s="19" t="s">
        <v>46</v>
      </c>
      <c r="G92" s="19" t="s">
        <v>238</v>
      </c>
      <c r="H92" s="20" t="s">
        <v>223</v>
      </c>
      <c r="I92" s="21" t="s">
        <v>247</v>
      </c>
      <c r="J92" s="21" t="s">
        <v>28</v>
      </c>
    </row>
    <row r="93" spans="1:21" ht="15.75" customHeight="1" x14ac:dyDescent="0.15">
      <c r="B93" s="22" t="s">
        <v>251</v>
      </c>
      <c r="C93" s="22" t="s">
        <v>254</v>
      </c>
      <c r="D93" s="52"/>
      <c r="E93" s="24">
        <v>8</v>
      </c>
      <c r="F93" s="238">
        <f>E93*2</f>
        <v>16</v>
      </c>
      <c r="G93" s="239">
        <v>6.3700000000000007E-2</v>
      </c>
      <c r="H93" s="26">
        <f>Landreisen_Scope3[[#This Row],[Anzahl Reisen]]*Landreisen_Scope3[[#This Row],[Hin- &amp; Rückfahrt (km / Jahr)]]*Landreisen_Scope3[[#This Row],[Emissionsfaktor 
(kg CO2e / Pkm) ]]</f>
        <v>0</v>
      </c>
      <c r="I93" s="247" t="s">
        <v>253</v>
      </c>
      <c r="J93" s="34" t="s">
        <v>295</v>
      </c>
    </row>
    <row r="94" spans="1:21" x14ac:dyDescent="0.15">
      <c r="B94" s="22" t="s">
        <v>250</v>
      </c>
      <c r="C94" s="22" t="s">
        <v>252</v>
      </c>
      <c r="D94" s="52"/>
      <c r="E94" s="24">
        <v>80</v>
      </c>
      <c r="F94" s="238">
        <f>E94*2</f>
        <v>160</v>
      </c>
      <c r="G94" s="240">
        <v>4.9000000000000002E-2</v>
      </c>
      <c r="H94" s="26">
        <f>Landreisen_Scope3[[#This Row],[Anzahl Reisen]]*Landreisen_Scope3[[#This Row],[Hin- &amp; Rückfahrt (km / Jahr)]]*Landreisen_Scope3[[#This Row],[Emissionsfaktor 
(kg CO2e / Pkm) ]]</f>
        <v>0</v>
      </c>
      <c r="I94" s="34" t="s">
        <v>244</v>
      </c>
      <c r="J94" s="34" t="s">
        <v>295</v>
      </c>
    </row>
    <row r="95" spans="1:21" x14ac:dyDescent="0.15">
      <c r="B95" s="22" t="s">
        <v>49</v>
      </c>
      <c r="C95" s="22" t="s">
        <v>155</v>
      </c>
      <c r="D95" s="53"/>
      <c r="E95" s="24">
        <v>400</v>
      </c>
      <c r="F95" s="24">
        <f>E95*2</f>
        <v>800</v>
      </c>
      <c r="G95" s="25">
        <v>2.5999999999999999E-2</v>
      </c>
      <c r="H95" s="26">
        <f>Landreisen_Scope3[[#This Row],[Anzahl Reisen]]*Landreisen_Scope3[[#This Row],[Hin- &amp; Rückfahrt (km / Jahr)]]*Landreisen_Scope3[[#This Row],[Emissionsfaktor 
(kg CO2e / Pkm) ]]</f>
        <v>0</v>
      </c>
      <c r="I95" s="34" t="s">
        <v>243</v>
      </c>
      <c r="J95" s="34" t="s">
        <v>295</v>
      </c>
    </row>
    <row r="96" spans="1:21" x14ac:dyDescent="0.15">
      <c r="B96" s="49" t="s">
        <v>159</v>
      </c>
      <c r="C96" s="49"/>
      <c r="D96" s="3">
        <f>SUBTOTAL(109,Landreisen_Scope3[Anzahl Reisen])</f>
        <v>0</v>
      </c>
      <c r="E96" s="3">
        <f>SUBTOTAL(109,Landreisen_Scope3[Typ])</f>
        <v>0</v>
      </c>
      <c r="F96" s="30">
        <f>SUM(Landreisen_Scope3[Anzahl Reisen])</f>
        <v>0</v>
      </c>
      <c r="G96" s="2"/>
      <c r="H96" s="31">
        <f>SUBTOTAL(109,Landreisen_Scope3[Ergebnis 
(kg CO2e / Jahr)])</f>
        <v>0</v>
      </c>
      <c r="I96" s="2"/>
      <c r="J96" s="2"/>
    </row>
    <row r="97" spans="1:21" x14ac:dyDescent="0.15">
      <c r="B97" s="27"/>
      <c r="C97" s="27"/>
      <c r="D97" s="27"/>
      <c r="E97" s="47"/>
      <c r="F97" s="47"/>
    </row>
    <row r="98" spans="1:21" ht="5" customHeight="1" x14ac:dyDescent="0.15">
      <c r="B98" s="27"/>
      <c r="C98" s="27"/>
      <c r="D98" s="27"/>
      <c r="E98" s="47"/>
      <c r="F98" s="47"/>
    </row>
    <row r="99" spans="1:21" x14ac:dyDescent="0.15">
      <c r="A99" s="46" t="s">
        <v>215</v>
      </c>
      <c r="B99" s="43"/>
      <c r="C99" s="43"/>
      <c r="D99" s="44"/>
      <c r="E99" s="44"/>
      <c r="F99" s="44"/>
      <c r="G99" s="44"/>
      <c r="H99" s="44"/>
      <c r="I99" s="44"/>
      <c r="J99" s="44"/>
      <c r="K99" s="44"/>
      <c r="L99" s="43"/>
      <c r="M99" s="45"/>
    </row>
    <row r="100" spans="1:21" x14ac:dyDescent="0.15">
      <c r="B100" s="27"/>
      <c r="C100" s="27"/>
      <c r="D100" s="27"/>
      <c r="E100" s="47"/>
      <c r="F100" s="47"/>
    </row>
    <row r="101" spans="1:21" ht="30" x14ac:dyDescent="0.2">
      <c r="B101" s="18" t="s">
        <v>48</v>
      </c>
      <c r="C101" s="61" t="s">
        <v>154</v>
      </c>
      <c r="D101" s="51" t="s">
        <v>157</v>
      </c>
      <c r="E101" s="19" t="s">
        <v>134</v>
      </c>
      <c r="F101" s="19" t="s">
        <v>46</v>
      </c>
      <c r="G101" s="19" t="s">
        <v>238</v>
      </c>
      <c r="H101" s="20" t="s">
        <v>223</v>
      </c>
      <c r="I101" s="21" t="s">
        <v>141</v>
      </c>
      <c r="J101" s="62" t="s">
        <v>28</v>
      </c>
    </row>
    <row r="102" spans="1:21" ht="14" x14ac:dyDescent="0.15">
      <c r="B102" s="50" t="s">
        <v>103</v>
      </c>
      <c r="C102" s="50" t="s">
        <v>156</v>
      </c>
      <c r="D102" s="241"/>
      <c r="E102" s="17"/>
      <c r="F102" s="17"/>
      <c r="G102" s="32">
        <v>0.16400000000000001</v>
      </c>
      <c r="H102" s="26">
        <f>Tabelle8[Gefahrene Kilometer]*Tabelle8[Emissionsfaktor 
(kg CO2e / Pkm) ]</f>
        <v>0</v>
      </c>
      <c r="I102" s="54"/>
      <c r="J102" s="54" t="s">
        <v>295</v>
      </c>
    </row>
    <row r="103" spans="1:21" customFormat="1" ht="15" x14ac:dyDescent="0.2">
      <c r="B103" s="69" t="s">
        <v>158</v>
      </c>
      <c r="C103" s="67"/>
      <c r="D103" s="67"/>
      <c r="E103" s="67"/>
      <c r="F103" s="67"/>
      <c r="G103" s="67"/>
      <c r="H103" s="31">
        <f>SUBTOTAL(109,Tabelle8[Ergebnis 
(kg CO2e / Jahr)])</f>
        <v>0</v>
      </c>
      <c r="I103" s="65"/>
      <c r="J103" s="65"/>
    </row>
    <row r="104" spans="1:21" ht="15" x14ac:dyDescent="0.2">
      <c r="B104"/>
      <c r="C104"/>
      <c r="D104"/>
      <c r="E104"/>
      <c r="F104"/>
      <c r="G104"/>
      <c r="H104"/>
      <c r="I104"/>
      <c r="J104"/>
    </row>
    <row r="105" spans="1:21" ht="5" customHeight="1" x14ac:dyDescent="0.2">
      <c r="B105"/>
      <c r="C105"/>
      <c r="D105"/>
      <c r="E105"/>
      <c r="F105"/>
      <c r="G105"/>
      <c r="H105"/>
      <c r="I105"/>
      <c r="J105"/>
    </row>
    <row r="106" spans="1:21" s="43" customFormat="1" x14ac:dyDescent="0.15">
      <c r="A106" s="42" t="s">
        <v>276</v>
      </c>
      <c r="B106" s="70"/>
      <c r="C106" s="70"/>
      <c r="D106" s="70"/>
      <c r="E106" s="71"/>
      <c r="F106" s="71"/>
      <c r="K106" s="44"/>
      <c r="M106" s="45"/>
    </row>
    <row r="107" spans="1:21" x14ac:dyDescent="0.15">
      <c r="B107" s="27"/>
      <c r="C107" s="27"/>
      <c r="D107" s="27"/>
      <c r="E107" s="47"/>
      <c r="F107" s="47"/>
    </row>
    <row r="108" spans="1:21" s="11" customFormat="1" ht="30" x14ac:dyDescent="0.2">
      <c r="B108" s="60" t="s">
        <v>48</v>
      </c>
      <c r="C108" s="61" t="s">
        <v>128</v>
      </c>
      <c r="D108" s="51" t="s">
        <v>149</v>
      </c>
      <c r="E108" s="19" t="s">
        <v>161</v>
      </c>
      <c r="F108" s="66" t="s">
        <v>166</v>
      </c>
      <c r="G108" s="66" t="s">
        <v>167</v>
      </c>
      <c r="H108" s="20" t="s">
        <v>223</v>
      </c>
      <c r="I108" s="21" t="s">
        <v>141</v>
      </c>
      <c r="J108" s="62" t="s">
        <v>28</v>
      </c>
      <c r="O108"/>
      <c r="P108"/>
      <c r="Q108"/>
      <c r="R108"/>
      <c r="S108"/>
      <c r="T108"/>
      <c r="U108"/>
    </row>
    <row r="109" spans="1:21" x14ac:dyDescent="0.15">
      <c r="B109" s="28" t="s">
        <v>47</v>
      </c>
      <c r="C109" s="17"/>
      <c r="D109" s="72">
        <f>Flugreisen_Scop33[[#Totals],[Anzahl Flüge]]</f>
        <v>0</v>
      </c>
      <c r="E109" s="29" t="s">
        <v>162</v>
      </c>
      <c r="F109" s="17"/>
      <c r="G109" s="17"/>
      <c r="H109" s="31">
        <f>Flugreisen_Scop33[[#Totals],[Ergebnis 
(kg CO2e / Jahr)]]</f>
        <v>0</v>
      </c>
      <c r="I109" s="2"/>
      <c r="J109" s="59"/>
    </row>
    <row r="110" spans="1:21" x14ac:dyDescent="0.15">
      <c r="B110" s="49" t="s">
        <v>159</v>
      </c>
      <c r="C110" s="17"/>
      <c r="D110" s="72">
        <f>Landreisen_Scope3[[#Totals],[Anzahl Reisen]]</f>
        <v>0</v>
      </c>
      <c r="E110" s="3" t="s">
        <v>160</v>
      </c>
      <c r="F110" s="17"/>
      <c r="G110" s="17"/>
      <c r="H110" s="31">
        <f>Landreisen_Scope3[[#Totals],[Ergebnis 
(kg CO2e / Jahr)]]</f>
        <v>0</v>
      </c>
      <c r="I110" s="2"/>
      <c r="J110" s="59"/>
    </row>
    <row r="111" spans="1:21" ht="14" x14ac:dyDescent="0.15">
      <c r="B111" s="58" t="s">
        <v>158</v>
      </c>
      <c r="C111" s="17"/>
      <c r="D111" s="72">
        <f>Tabelle8[Gefahrene Kilometer]</f>
        <v>0</v>
      </c>
      <c r="E111" s="3" t="s">
        <v>129</v>
      </c>
      <c r="F111" s="17"/>
      <c r="G111" s="17"/>
      <c r="H111" s="26">
        <f>Tabelle8[[#Totals],[Ergebnis 
(kg CO2e / Jahr)]]</f>
        <v>0</v>
      </c>
      <c r="I111" s="2"/>
      <c r="J111" s="59"/>
    </row>
    <row r="112" spans="1:21" x14ac:dyDescent="0.15">
      <c r="B112" s="63" t="s">
        <v>275</v>
      </c>
      <c r="C112" s="64"/>
      <c r="D112" s="64"/>
      <c r="E112" s="64"/>
      <c r="F112" s="64"/>
      <c r="G112" s="64"/>
      <c r="H112" s="31">
        <f>SUBTOTAL(109,Tabelle7[Ergebnis 
(kg CO2e / Jahr)])</f>
        <v>0</v>
      </c>
      <c r="I112" s="2"/>
      <c r="J112" s="68"/>
    </row>
    <row r="113" spans="1:13" x14ac:dyDescent="0.15">
      <c r="B113" s="27"/>
      <c r="C113" s="27"/>
      <c r="D113" s="27"/>
      <c r="E113" s="47"/>
      <c r="F113" s="47"/>
    </row>
    <row r="114" spans="1:13" s="11" customFormat="1" ht="5" customHeight="1" thickBot="1" x14ac:dyDescent="0.2">
      <c r="E114" s="12"/>
      <c r="F114" s="12"/>
    </row>
    <row r="115" spans="1:13" customFormat="1" ht="15.75" customHeight="1" thickBot="1" x14ac:dyDescent="0.25">
      <c r="A115" s="292" t="s">
        <v>274</v>
      </c>
      <c r="B115" s="293"/>
      <c r="C115" s="293"/>
      <c r="D115" s="293"/>
      <c r="E115" s="293"/>
      <c r="F115" s="293"/>
      <c r="G115" s="293"/>
      <c r="H115" s="293"/>
      <c r="I115" s="293"/>
      <c r="J115" s="293"/>
      <c r="K115" s="293"/>
      <c r="L115" s="293"/>
      <c r="M115" s="294"/>
    </row>
    <row r="116" spans="1:13" customFormat="1" ht="15.75" customHeight="1" x14ac:dyDescent="0.2">
      <c r="A116" s="11"/>
      <c r="B116" s="11"/>
      <c r="C116" s="11"/>
      <c r="D116" s="11"/>
      <c r="E116" s="12"/>
      <c r="F116" s="12"/>
      <c r="G116" s="11"/>
      <c r="H116" s="11"/>
      <c r="I116" s="11"/>
      <c r="J116" s="11"/>
      <c r="K116" s="11"/>
      <c r="L116" s="11"/>
      <c r="M116" s="11"/>
    </row>
    <row r="117" spans="1:13" s="43" customFormat="1" x14ac:dyDescent="0.15">
      <c r="A117" s="46" t="s">
        <v>292</v>
      </c>
      <c r="B117" s="70"/>
      <c r="C117" s="70"/>
      <c r="D117" s="70"/>
      <c r="E117" s="71"/>
      <c r="F117" s="71"/>
      <c r="K117" s="44"/>
      <c r="M117" s="45"/>
    </row>
    <row r="118" spans="1:13" x14ac:dyDescent="0.15">
      <c r="B118" s="27"/>
      <c r="C118" s="27"/>
      <c r="D118" s="27"/>
      <c r="E118" s="47"/>
      <c r="F118" s="47"/>
    </row>
    <row r="119" spans="1:13" x14ac:dyDescent="0.15">
      <c r="B119" s="56" t="s">
        <v>109</v>
      </c>
      <c r="C119" s="57"/>
      <c r="D119" s="75" t="s">
        <v>105</v>
      </c>
      <c r="E119" s="75"/>
      <c r="F119" s="75"/>
      <c r="G119" s="75"/>
      <c r="H119" s="75"/>
      <c r="I119" s="75"/>
    </row>
    <row r="120" spans="1:13" ht="30" x14ac:dyDescent="0.2">
      <c r="B120" s="76" t="s">
        <v>145</v>
      </c>
      <c r="C120" s="61" t="s">
        <v>128</v>
      </c>
      <c r="D120" s="77" t="s">
        <v>104</v>
      </c>
      <c r="E120" s="48" t="s">
        <v>166</v>
      </c>
      <c r="F120" s="19" t="s">
        <v>237</v>
      </c>
      <c r="G120" s="81" t="s">
        <v>167</v>
      </c>
      <c r="H120" s="20" t="s">
        <v>223</v>
      </c>
      <c r="I120" s="21" t="s">
        <v>168</v>
      </c>
    </row>
    <row r="121" spans="1:13" x14ac:dyDescent="0.15">
      <c r="B121" s="22" t="s">
        <v>50</v>
      </c>
      <c r="C121" s="2"/>
      <c r="D121" s="9"/>
      <c r="E121" s="2"/>
      <c r="F121" s="78">
        <v>14.071428571428571</v>
      </c>
      <c r="G121" s="2"/>
      <c r="H121" s="187">
        <f t="shared" ref="H121:H152" si="1">D121*F121</f>
        <v>0</v>
      </c>
      <c r="I121" s="2"/>
    </row>
    <row r="122" spans="1:13" x14ac:dyDescent="0.15">
      <c r="B122" s="22" t="s">
        <v>51</v>
      </c>
      <c r="C122" s="2"/>
      <c r="D122" s="9"/>
      <c r="E122" s="2"/>
      <c r="F122" s="78">
        <v>61.457894736842093</v>
      </c>
      <c r="G122" s="2"/>
      <c r="H122" s="26">
        <f t="shared" si="1"/>
        <v>0</v>
      </c>
      <c r="I122" s="2"/>
    </row>
    <row r="123" spans="1:13" x14ac:dyDescent="0.15">
      <c r="B123" s="22" t="s">
        <v>52</v>
      </c>
      <c r="C123" s="2"/>
      <c r="D123" s="9"/>
      <c r="E123" s="2"/>
      <c r="F123" s="78">
        <v>35</v>
      </c>
      <c r="G123" s="2"/>
      <c r="H123" s="26">
        <f t="shared" si="1"/>
        <v>0</v>
      </c>
      <c r="I123" s="2"/>
    </row>
    <row r="124" spans="1:13" x14ac:dyDescent="0.15">
      <c r="B124" s="22" t="s">
        <v>53</v>
      </c>
      <c r="C124" s="2"/>
      <c r="D124" s="9"/>
      <c r="E124" s="2"/>
      <c r="F124" s="78">
        <v>61.457894736842093</v>
      </c>
      <c r="G124" s="2"/>
      <c r="H124" s="26">
        <f t="shared" si="1"/>
        <v>0</v>
      </c>
      <c r="I124" s="2"/>
    </row>
    <row r="125" spans="1:13" x14ac:dyDescent="0.15">
      <c r="B125" s="22" t="s">
        <v>54</v>
      </c>
      <c r="C125" s="2"/>
      <c r="D125" s="9"/>
      <c r="E125" s="2"/>
      <c r="F125" s="78">
        <v>12.2</v>
      </c>
      <c r="G125" s="2"/>
      <c r="H125" s="26">
        <f t="shared" si="1"/>
        <v>0</v>
      </c>
      <c r="I125" s="2"/>
    </row>
    <row r="126" spans="1:13" x14ac:dyDescent="0.15">
      <c r="B126" s="22" t="s">
        <v>55</v>
      </c>
      <c r="C126" s="2"/>
      <c r="D126" s="9"/>
      <c r="E126" s="2"/>
      <c r="F126" s="78">
        <v>8.6999999999999993</v>
      </c>
      <c r="G126" s="2"/>
      <c r="H126" s="26">
        <f t="shared" si="1"/>
        <v>0</v>
      </c>
      <c r="I126" s="2"/>
    </row>
    <row r="127" spans="1:13" x14ac:dyDescent="0.15">
      <c r="B127" s="22" t="s">
        <v>56</v>
      </c>
      <c r="C127" s="2"/>
      <c r="D127" s="9"/>
      <c r="E127" s="2"/>
      <c r="F127" s="78">
        <v>53.5</v>
      </c>
      <c r="G127" s="2"/>
      <c r="H127" s="26">
        <f t="shared" si="1"/>
        <v>0</v>
      </c>
      <c r="I127" s="2"/>
    </row>
    <row r="128" spans="1:13" x14ac:dyDescent="0.15">
      <c r="B128" s="22" t="s">
        <v>57</v>
      </c>
      <c r="C128" s="2"/>
      <c r="D128" s="9"/>
      <c r="E128" s="2"/>
      <c r="F128" s="78">
        <v>4.7</v>
      </c>
      <c r="G128" s="2"/>
      <c r="H128" s="26">
        <f t="shared" si="1"/>
        <v>0</v>
      </c>
      <c r="I128" s="2"/>
    </row>
    <row r="129" spans="2:9" x14ac:dyDescent="0.15">
      <c r="B129" s="22" t="s">
        <v>58</v>
      </c>
      <c r="C129" s="2"/>
      <c r="D129" s="9"/>
      <c r="E129" s="2"/>
      <c r="F129" s="78">
        <v>11.577777777777776</v>
      </c>
      <c r="G129" s="2"/>
      <c r="H129" s="26">
        <f t="shared" si="1"/>
        <v>0</v>
      </c>
      <c r="I129" s="2"/>
    </row>
    <row r="130" spans="2:9" x14ac:dyDescent="0.15">
      <c r="B130" s="22" t="s">
        <v>59</v>
      </c>
      <c r="C130" s="2"/>
      <c r="D130" s="9"/>
      <c r="E130" s="2"/>
      <c r="F130" s="78">
        <v>13.2</v>
      </c>
      <c r="G130" s="2"/>
      <c r="H130" s="26">
        <f t="shared" si="1"/>
        <v>0</v>
      </c>
      <c r="I130" s="2"/>
    </row>
    <row r="131" spans="2:9" x14ac:dyDescent="0.15">
      <c r="B131" s="22" t="s">
        <v>60</v>
      </c>
      <c r="C131" s="2"/>
      <c r="D131" s="9"/>
      <c r="E131" s="2"/>
      <c r="F131" s="78">
        <v>11.577777777777776</v>
      </c>
      <c r="G131" s="2"/>
      <c r="H131" s="26">
        <f t="shared" si="1"/>
        <v>0</v>
      </c>
      <c r="I131" s="2"/>
    </row>
    <row r="132" spans="2:9" x14ac:dyDescent="0.15">
      <c r="B132" s="22" t="s">
        <v>61</v>
      </c>
      <c r="C132" s="2"/>
      <c r="D132" s="9"/>
      <c r="E132" s="2"/>
      <c r="F132" s="78">
        <v>6.7</v>
      </c>
      <c r="G132" s="2"/>
      <c r="H132" s="26">
        <f t="shared" si="1"/>
        <v>0</v>
      </c>
      <c r="I132" s="2"/>
    </row>
    <row r="133" spans="2:9" x14ac:dyDescent="0.15">
      <c r="B133" s="22" t="s">
        <v>62</v>
      </c>
      <c r="C133" s="2"/>
      <c r="D133" s="9"/>
      <c r="E133" s="2"/>
      <c r="F133" s="78">
        <v>11.577777777777776</v>
      </c>
      <c r="G133" s="2"/>
      <c r="H133" s="26">
        <f t="shared" si="1"/>
        <v>0</v>
      </c>
      <c r="I133" s="2"/>
    </row>
    <row r="134" spans="2:9" x14ac:dyDescent="0.15">
      <c r="B134" s="22" t="s">
        <v>63</v>
      </c>
      <c r="C134" s="2"/>
      <c r="D134" s="9"/>
      <c r="E134" s="2"/>
      <c r="F134" s="78">
        <v>58.9</v>
      </c>
      <c r="G134" s="2"/>
      <c r="H134" s="26">
        <f t="shared" si="1"/>
        <v>0</v>
      </c>
      <c r="I134" s="2"/>
    </row>
    <row r="135" spans="2:9" x14ac:dyDescent="0.15">
      <c r="B135" s="22" t="s">
        <v>64</v>
      </c>
      <c r="C135" s="2"/>
      <c r="D135" s="9"/>
      <c r="E135" s="2"/>
      <c r="F135" s="78">
        <v>11.577777777777776</v>
      </c>
      <c r="G135" s="2"/>
      <c r="H135" s="26">
        <f t="shared" si="1"/>
        <v>0</v>
      </c>
      <c r="I135" s="2"/>
    </row>
    <row r="136" spans="2:9" x14ac:dyDescent="0.15">
      <c r="B136" s="22" t="s">
        <v>65</v>
      </c>
      <c r="C136" s="2"/>
      <c r="D136" s="9"/>
      <c r="E136" s="2"/>
      <c r="F136" s="78">
        <v>61.457894736842093</v>
      </c>
      <c r="G136" s="2"/>
      <c r="H136" s="26">
        <f t="shared" si="1"/>
        <v>0</v>
      </c>
      <c r="I136" s="2"/>
    </row>
    <row r="137" spans="2:9" x14ac:dyDescent="0.15">
      <c r="B137" s="22" t="s">
        <v>66</v>
      </c>
      <c r="C137" s="2"/>
      <c r="D137" s="9"/>
      <c r="E137" s="2"/>
      <c r="F137" s="78">
        <v>14.3</v>
      </c>
      <c r="G137" s="2"/>
      <c r="H137" s="26">
        <f t="shared" si="1"/>
        <v>0</v>
      </c>
      <c r="I137" s="2"/>
    </row>
    <row r="138" spans="2:9" x14ac:dyDescent="0.15">
      <c r="B138" s="22" t="s">
        <v>67</v>
      </c>
      <c r="C138" s="2"/>
      <c r="D138" s="9"/>
      <c r="E138" s="2"/>
      <c r="F138" s="78">
        <v>39</v>
      </c>
      <c r="G138" s="2"/>
      <c r="H138" s="26">
        <f t="shared" si="1"/>
        <v>0</v>
      </c>
      <c r="I138" s="2"/>
    </row>
    <row r="139" spans="2:9" x14ac:dyDescent="0.15">
      <c r="B139" s="22" t="s">
        <v>68</v>
      </c>
      <c r="C139" s="2"/>
      <c r="D139" s="9"/>
      <c r="E139" s="2"/>
      <c r="F139" s="78">
        <v>7.4</v>
      </c>
      <c r="G139" s="2"/>
      <c r="H139" s="26">
        <f t="shared" si="1"/>
        <v>0</v>
      </c>
      <c r="I139" s="2"/>
    </row>
    <row r="140" spans="2:9" x14ac:dyDescent="0.15">
      <c r="B140" s="22" t="s">
        <v>69</v>
      </c>
      <c r="C140" s="2"/>
      <c r="D140" s="9"/>
      <c r="E140" s="2"/>
      <c r="F140" s="78">
        <v>61.457894736842093</v>
      </c>
      <c r="G140" s="2"/>
      <c r="H140" s="26">
        <f t="shared" si="1"/>
        <v>0</v>
      </c>
      <c r="I140" s="2"/>
    </row>
    <row r="141" spans="2:9" x14ac:dyDescent="0.15">
      <c r="B141" s="22" t="s">
        <v>70</v>
      </c>
      <c r="C141" s="2"/>
      <c r="D141" s="9"/>
      <c r="E141" s="2"/>
      <c r="F141" s="78">
        <v>14.7</v>
      </c>
      <c r="G141" s="2"/>
      <c r="H141" s="26">
        <f t="shared" si="1"/>
        <v>0</v>
      </c>
      <c r="I141" s="2"/>
    </row>
    <row r="142" spans="2:9" x14ac:dyDescent="0.15">
      <c r="B142" s="22" t="s">
        <v>150</v>
      </c>
      <c r="C142" s="2"/>
      <c r="D142" s="9"/>
      <c r="E142" s="2"/>
      <c r="F142" s="78">
        <v>11.577777777777776</v>
      </c>
      <c r="G142" s="2"/>
      <c r="H142" s="26">
        <f t="shared" si="1"/>
        <v>0</v>
      </c>
      <c r="I142" s="2"/>
    </row>
    <row r="143" spans="2:9" x14ac:dyDescent="0.15">
      <c r="B143" s="22" t="s">
        <v>71</v>
      </c>
      <c r="C143" s="2"/>
      <c r="D143" s="9"/>
      <c r="E143" s="2"/>
      <c r="F143" s="78">
        <v>11.577777777777776</v>
      </c>
      <c r="G143" s="2"/>
      <c r="H143" s="26">
        <f t="shared" si="1"/>
        <v>0</v>
      </c>
      <c r="I143" s="2"/>
    </row>
    <row r="144" spans="2:9" x14ac:dyDescent="0.15">
      <c r="B144" s="22" t="s">
        <v>72</v>
      </c>
      <c r="C144" s="2"/>
      <c r="D144" s="9"/>
      <c r="E144" s="2"/>
      <c r="F144" s="78">
        <v>11.577777777777776</v>
      </c>
      <c r="G144" s="2"/>
      <c r="H144" s="26">
        <f t="shared" si="1"/>
        <v>0</v>
      </c>
      <c r="I144" s="2"/>
    </row>
    <row r="145" spans="2:9" x14ac:dyDescent="0.15">
      <c r="B145" s="22" t="s">
        <v>73</v>
      </c>
      <c r="C145" s="2"/>
      <c r="D145" s="9"/>
      <c r="E145" s="2"/>
      <c r="F145" s="78">
        <v>47.8</v>
      </c>
      <c r="G145" s="2"/>
      <c r="H145" s="26">
        <f t="shared" si="1"/>
        <v>0</v>
      </c>
      <c r="I145" s="2"/>
    </row>
    <row r="146" spans="2:9" x14ac:dyDescent="0.15">
      <c r="B146" s="22" t="s">
        <v>74</v>
      </c>
      <c r="C146" s="2"/>
      <c r="D146" s="9"/>
      <c r="E146" s="2"/>
      <c r="F146" s="78">
        <v>61.5</v>
      </c>
      <c r="G146" s="2"/>
      <c r="H146" s="26">
        <f t="shared" si="1"/>
        <v>0</v>
      </c>
      <c r="I146" s="2"/>
    </row>
    <row r="147" spans="2:9" x14ac:dyDescent="0.15">
      <c r="B147" s="22" t="s">
        <v>75</v>
      </c>
      <c r="C147" s="2"/>
      <c r="D147" s="9"/>
      <c r="E147" s="2"/>
      <c r="F147" s="78">
        <v>61.457894736842093</v>
      </c>
      <c r="G147" s="2"/>
      <c r="H147" s="26">
        <f t="shared" si="1"/>
        <v>0</v>
      </c>
      <c r="I147" s="2"/>
    </row>
    <row r="148" spans="2:9" x14ac:dyDescent="0.15">
      <c r="B148" s="22" t="s">
        <v>76</v>
      </c>
      <c r="C148" s="2"/>
      <c r="D148" s="9"/>
      <c r="E148" s="2"/>
      <c r="F148" s="78">
        <v>47.8</v>
      </c>
      <c r="G148" s="2"/>
      <c r="H148" s="26">
        <f t="shared" si="1"/>
        <v>0</v>
      </c>
      <c r="I148" s="2"/>
    </row>
    <row r="149" spans="2:9" x14ac:dyDescent="0.15">
      <c r="B149" s="22" t="s">
        <v>77</v>
      </c>
      <c r="C149" s="2"/>
      <c r="D149" s="9"/>
      <c r="E149" s="2"/>
      <c r="F149" s="78">
        <v>35</v>
      </c>
      <c r="G149" s="2"/>
      <c r="H149" s="26">
        <f t="shared" si="1"/>
        <v>0</v>
      </c>
      <c r="I149" s="2"/>
    </row>
    <row r="150" spans="2:9" x14ac:dyDescent="0.15">
      <c r="B150" s="22" t="s">
        <v>78</v>
      </c>
      <c r="C150" s="2"/>
      <c r="D150" s="9"/>
      <c r="E150" s="2"/>
      <c r="F150" s="78">
        <v>14.8</v>
      </c>
      <c r="G150" s="2"/>
      <c r="H150" s="26">
        <f t="shared" si="1"/>
        <v>0</v>
      </c>
      <c r="I150" s="2"/>
    </row>
    <row r="151" spans="2:9" x14ac:dyDescent="0.15">
      <c r="B151" s="22" t="s">
        <v>79</v>
      </c>
      <c r="C151" s="2"/>
      <c r="D151" s="9"/>
      <c r="E151" s="2"/>
      <c r="F151" s="78">
        <v>11.577777777777776</v>
      </c>
      <c r="G151" s="2"/>
      <c r="H151" s="26">
        <f t="shared" si="1"/>
        <v>0</v>
      </c>
      <c r="I151" s="2"/>
    </row>
    <row r="152" spans="2:9" x14ac:dyDescent="0.15">
      <c r="B152" s="22" t="s">
        <v>80</v>
      </c>
      <c r="C152" s="2"/>
      <c r="D152" s="9"/>
      <c r="E152" s="2"/>
      <c r="F152" s="78">
        <v>11.577777777777776</v>
      </c>
      <c r="G152" s="2"/>
      <c r="H152" s="26">
        <f t="shared" si="1"/>
        <v>0</v>
      </c>
      <c r="I152" s="2"/>
    </row>
    <row r="153" spans="2:9" x14ac:dyDescent="0.15">
      <c r="B153" s="22" t="s">
        <v>81</v>
      </c>
      <c r="C153" s="2"/>
      <c r="D153" s="9"/>
      <c r="E153" s="2"/>
      <c r="F153" s="78">
        <v>14.071428571428571</v>
      </c>
      <c r="G153" s="2"/>
      <c r="H153" s="26">
        <f t="shared" ref="H153:H174" si="2">D153*F153</f>
        <v>0</v>
      </c>
      <c r="I153" s="2"/>
    </row>
    <row r="154" spans="2:9" x14ac:dyDescent="0.15">
      <c r="B154" s="22" t="s">
        <v>82</v>
      </c>
      <c r="C154" s="2"/>
      <c r="D154" s="9"/>
      <c r="E154" s="2"/>
      <c r="F154" s="78">
        <v>11.577777777777776</v>
      </c>
      <c r="G154" s="2"/>
      <c r="H154" s="26">
        <f t="shared" si="2"/>
        <v>0</v>
      </c>
      <c r="I154" s="2"/>
    </row>
    <row r="155" spans="2:9" x14ac:dyDescent="0.15">
      <c r="B155" s="22" t="s">
        <v>83</v>
      </c>
      <c r="C155" s="2"/>
      <c r="D155" s="9"/>
      <c r="E155" s="2"/>
      <c r="F155" s="78">
        <v>19</v>
      </c>
      <c r="G155" s="2"/>
      <c r="H155" s="26">
        <f t="shared" si="2"/>
        <v>0</v>
      </c>
      <c r="I155" s="2"/>
    </row>
    <row r="156" spans="2:9" x14ac:dyDescent="0.15">
      <c r="B156" s="22" t="s">
        <v>84</v>
      </c>
      <c r="C156" s="2"/>
      <c r="D156" s="9"/>
      <c r="E156" s="2"/>
      <c r="F156" s="78">
        <v>61.457894736842093</v>
      </c>
      <c r="G156" s="2"/>
      <c r="H156" s="26">
        <f t="shared" si="2"/>
        <v>0</v>
      </c>
      <c r="I156" s="2"/>
    </row>
    <row r="157" spans="2:9" x14ac:dyDescent="0.15">
      <c r="B157" s="22" t="s">
        <v>85</v>
      </c>
      <c r="C157" s="2"/>
      <c r="D157" s="9"/>
      <c r="E157" s="2"/>
      <c r="F157" s="78">
        <v>11.577777777777776</v>
      </c>
      <c r="G157" s="2"/>
      <c r="H157" s="26">
        <f t="shared" si="2"/>
        <v>0</v>
      </c>
      <c r="I157" s="2"/>
    </row>
    <row r="158" spans="2:9" x14ac:dyDescent="0.15">
      <c r="B158" s="22" t="s">
        <v>86</v>
      </c>
      <c r="C158" s="2"/>
      <c r="D158" s="9"/>
      <c r="E158" s="2"/>
      <c r="F158" s="78">
        <v>24.2</v>
      </c>
      <c r="G158" s="2"/>
      <c r="H158" s="26">
        <f t="shared" si="2"/>
        <v>0</v>
      </c>
      <c r="I158" s="2"/>
    </row>
    <row r="159" spans="2:9" x14ac:dyDescent="0.15">
      <c r="B159" s="22" t="s">
        <v>87</v>
      </c>
      <c r="C159" s="2"/>
      <c r="D159" s="9"/>
      <c r="E159" s="2"/>
      <c r="F159" s="78">
        <v>11.577777777777776</v>
      </c>
      <c r="G159" s="2"/>
      <c r="H159" s="26">
        <f t="shared" si="2"/>
        <v>0</v>
      </c>
      <c r="I159" s="2"/>
    </row>
    <row r="160" spans="2:9" x14ac:dyDescent="0.15">
      <c r="B160" s="22" t="s">
        <v>88</v>
      </c>
      <c r="C160" s="2"/>
      <c r="D160" s="9"/>
      <c r="E160" s="2"/>
      <c r="F160" s="78">
        <v>6.6</v>
      </c>
      <c r="G160" s="2"/>
      <c r="H160" s="26">
        <f t="shared" si="2"/>
        <v>0</v>
      </c>
      <c r="I160" s="2"/>
    </row>
    <row r="161" spans="2:9" x14ac:dyDescent="0.15">
      <c r="B161" s="22" t="s">
        <v>89</v>
      </c>
      <c r="C161" s="2"/>
      <c r="D161" s="9"/>
      <c r="E161" s="2"/>
      <c r="F161" s="78">
        <v>11.577777777777776</v>
      </c>
      <c r="G161" s="2"/>
      <c r="H161" s="26">
        <f t="shared" si="2"/>
        <v>0</v>
      </c>
      <c r="I161" s="2"/>
    </row>
    <row r="162" spans="2:9" x14ac:dyDescent="0.15">
      <c r="B162" s="22" t="s">
        <v>90</v>
      </c>
      <c r="C162" s="2"/>
      <c r="D162" s="9"/>
      <c r="E162" s="2"/>
      <c r="F162" s="78">
        <v>24.5</v>
      </c>
      <c r="G162" s="2"/>
      <c r="H162" s="26">
        <f t="shared" si="2"/>
        <v>0</v>
      </c>
      <c r="I162" s="2"/>
    </row>
    <row r="163" spans="2:9" x14ac:dyDescent="0.15">
      <c r="B163" s="22" t="s">
        <v>91</v>
      </c>
      <c r="C163" s="2"/>
      <c r="D163" s="9"/>
      <c r="E163" s="2"/>
      <c r="F163" s="78">
        <v>11.577777777777776</v>
      </c>
      <c r="G163" s="2"/>
      <c r="H163" s="26">
        <f t="shared" si="2"/>
        <v>0</v>
      </c>
      <c r="I163" s="2"/>
    </row>
    <row r="164" spans="2:9" x14ac:dyDescent="0.15">
      <c r="B164" s="22" t="s">
        <v>92</v>
      </c>
      <c r="C164" s="2"/>
      <c r="D164" s="9"/>
      <c r="E164" s="2"/>
      <c r="F164" s="78">
        <v>11.577777777777776</v>
      </c>
      <c r="G164" s="2"/>
      <c r="H164" s="26">
        <f t="shared" si="2"/>
        <v>0</v>
      </c>
      <c r="I164" s="2"/>
    </row>
    <row r="165" spans="2:9" x14ac:dyDescent="0.15">
      <c r="B165" s="22" t="s">
        <v>93</v>
      </c>
      <c r="C165" s="2"/>
      <c r="D165" s="9"/>
      <c r="E165" s="2"/>
      <c r="F165" s="78">
        <v>7</v>
      </c>
      <c r="G165" s="2"/>
      <c r="H165" s="26">
        <f t="shared" si="2"/>
        <v>0</v>
      </c>
      <c r="I165" s="2"/>
    </row>
    <row r="166" spans="2:9" x14ac:dyDescent="0.15">
      <c r="B166" s="22" t="s">
        <v>94</v>
      </c>
      <c r="C166" s="2"/>
      <c r="D166" s="9"/>
      <c r="E166" s="2"/>
      <c r="F166" s="78">
        <v>51.4</v>
      </c>
      <c r="G166" s="2"/>
      <c r="H166" s="26">
        <f t="shared" si="2"/>
        <v>0</v>
      </c>
      <c r="I166" s="2"/>
    </row>
    <row r="167" spans="2:9" x14ac:dyDescent="0.15">
      <c r="B167" s="22" t="s">
        <v>95</v>
      </c>
      <c r="C167" s="2"/>
      <c r="D167" s="9"/>
      <c r="E167" s="2"/>
      <c r="F167" s="78">
        <v>61.457894736842093</v>
      </c>
      <c r="G167" s="2"/>
      <c r="H167" s="26">
        <f t="shared" si="2"/>
        <v>0</v>
      </c>
      <c r="I167" s="2"/>
    </row>
    <row r="168" spans="2:9" x14ac:dyDescent="0.15">
      <c r="B168" s="22" t="s">
        <v>96</v>
      </c>
      <c r="C168" s="2"/>
      <c r="D168" s="9"/>
      <c r="E168" s="2"/>
      <c r="F168" s="78">
        <v>43.4</v>
      </c>
      <c r="G168" s="2"/>
      <c r="H168" s="26">
        <f t="shared" si="2"/>
        <v>0</v>
      </c>
      <c r="I168" s="2"/>
    </row>
    <row r="169" spans="2:9" x14ac:dyDescent="0.15">
      <c r="B169" s="22" t="s">
        <v>97</v>
      </c>
      <c r="C169" s="2"/>
      <c r="D169" s="9"/>
      <c r="E169" s="2"/>
      <c r="F169" s="78">
        <v>11.577777777777776</v>
      </c>
      <c r="G169" s="2"/>
      <c r="H169" s="26">
        <f t="shared" si="2"/>
        <v>0</v>
      </c>
      <c r="I169" s="2"/>
    </row>
    <row r="170" spans="2:9" x14ac:dyDescent="0.15">
      <c r="B170" s="22" t="s">
        <v>98</v>
      </c>
      <c r="C170" s="2"/>
      <c r="D170" s="9"/>
      <c r="E170" s="2"/>
      <c r="F170" s="78">
        <v>32.1</v>
      </c>
      <c r="G170" s="2"/>
      <c r="H170" s="26">
        <f t="shared" si="2"/>
        <v>0</v>
      </c>
      <c r="I170" s="2"/>
    </row>
    <row r="171" spans="2:9" x14ac:dyDescent="0.15">
      <c r="B171" s="22" t="s">
        <v>99</v>
      </c>
      <c r="C171" s="2"/>
      <c r="D171" s="9"/>
      <c r="E171" s="2"/>
      <c r="F171" s="78">
        <v>11.577777777777776</v>
      </c>
      <c r="G171" s="2"/>
      <c r="H171" s="26">
        <f t="shared" si="2"/>
        <v>0</v>
      </c>
      <c r="I171" s="2"/>
    </row>
    <row r="172" spans="2:9" x14ac:dyDescent="0.15">
      <c r="B172" s="22" t="s">
        <v>100</v>
      </c>
      <c r="C172" s="2"/>
      <c r="D172" s="9"/>
      <c r="E172" s="2"/>
      <c r="F172" s="78">
        <v>63.8</v>
      </c>
      <c r="G172" s="2"/>
      <c r="H172" s="26">
        <f t="shared" si="2"/>
        <v>0</v>
      </c>
      <c r="I172" s="2"/>
    </row>
    <row r="173" spans="2:9" x14ac:dyDescent="0.15">
      <c r="B173" s="22" t="s">
        <v>101</v>
      </c>
      <c r="C173" s="2"/>
      <c r="D173" s="9"/>
      <c r="E173" s="2"/>
      <c r="F173" s="78">
        <v>16.100000000000001</v>
      </c>
      <c r="G173" s="2"/>
      <c r="H173" s="26">
        <f t="shared" si="2"/>
        <v>0</v>
      </c>
      <c r="I173" s="2"/>
    </row>
    <row r="174" spans="2:9" x14ac:dyDescent="0.15">
      <c r="B174" s="22" t="s">
        <v>102</v>
      </c>
      <c r="C174" s="2"/>
      <c r="D174" s="10"/>
      <c r="E174" s="2"/>
      <c r="F174" s="78">
        <v>10.4</v>
      </c>
      <c r="G174" s="2"/>
      <c r="H174" s="31">
        <f t="shared" si="2"/>
        <v>0</v>
      </c>
      <c r="I174" s="2"/>
    </row>
    <row r="175" spans="2:9" x14ac:dyDescent="0.15">
      <c r="B175" s="1" t="s">
        <v>277</v>
      </c>
      <c r="C175" s="2"/>
      <c r="D175" s="2"/>
      <c r="E175" s="2"/>
      <c r="F175" s="2"/>
      <c r="G175" s="2"/>
      <c r="H175" s="31">
        <f>SUM(H121:H174)</f>
        <v>0</v>
      </c>
      <c r="I175" s="2"/>
    </row>
    <row r="177" spans="1:14" s="11" customFormat="1" ht="5" customHeight="1" thickBot="1" x14ac:dyDescent="0.2">
      <c r="E177" s="12"/>
      <c r="F177" s="12"/>
    </row>
    <row r="178" spans="1:14" customFormat="1" ht="15.75" customHeight="1" thickBot="1" x14ac:dyDescent="0.25">
      <c r="A178" s="292" t="s">
        <v>220</v>
      </c>
      <c r="B178" s="293"/>
      <c r="C178" s="293"/>
      <c r="D178" s="293"/>
      <c r="E178" s="293"/>
      <c r="F178" s="293"/>
      <c r="G178" s="293"/>
      <c r="H178" s="293"/>
      <c r="I178" s="293"/>
      <c r="J178" s="293"/>
      <c r="K178" s="293"/>
      <c r="L178" s="293"/>
      <c r="M178" s="294"/>
    </row>
    <row r="180" spans="1:14" x14ac:dyDescent="0.15">
      <c r="A180" s="42" t="s">
        <v>235</v>
      </c>
      <c r="B180" s="43"/>
      <c r="C180" s="43"/>
      <c r="D180" s="44"/>
      <c r="E180" s="44"/>
      <c r="F180" s="44"/>
      <c r="G180" s="44"/>
      <c r="H180" s="44"/>
      <c r="I180" s="44"/>
      <c r="J180" s="44"/>
      <c r="K180" s="44"/>
      <c r="L180" s="43"/>
      <c r="M180" s="45"/>
    </row>
    <row r="181" spans="1:14" x14ac:dyDescent="0.15">
      <c r="A181" s="27"/>
      <c r="E181" s="34"/>
      <c r="F181" s="34"/>
    </row>
    <row r="182" spans="1:14" ht="30" x14ac:dyDescent="0.2">
      <c r="A182" s="27"/>
      <c r="B182" s="18" t="s">
        <v>209</v>
      </c>
      <c r="C182" s="18" t="s">
        <v>163</v>
      </c>
      <c r="D182" s="61" t="s">
        <v>128</v>
      </c>
      <c r="E182" s="66" t="s">
        <v>166</v>
      </c>
      <c r="F182" s="66" t="s">
        <v>167</v>
      </c>
      <c r="G182" s="66" t="s">
        <v>213</v>
      </c>
      <c r="H182" s="189" t="s">
        <v>224</v>
      </c>
      <c r="I182" s="27"/>
      <c r="J182" s="27"/>
      <c r="K182" s="27"/>
    </row>
    <row r="183" spans="1:14" x14ac:dyDescent="0.15">
      <c r="B183" s="22" t="s">
        <v>45</v>
      </c>
      <c r="C183" s="2"/>
      <c r="D183" s="2"/>
      <c r="E183" s="2"/>
      <c r="F183" s="2"/>
      <c r="G183" s="2"/>
      <c r="H183" s="26">
        <f>H109</f>
        <v>0</v>
      </c>
    </row>
    <row r="184" spans="1:14" x14ac:dyDescent="0.15">
      <c r="B184" s="22" t="s">
        <v>160</v>
      </c>
      <c r="C184" s="2"/>
      <c r="D184" s="2"/>
      <c r="E184" s="2"/>
      <c r="F184" s="2"/>
      <c r="G184" s="2"/>
      <c r="H184" s="26">
        <f>H110</f>
        <v>0</v>
      </c>
    </row>
    <row r="185" spans="1:14" x14ac:dyDescent="0.15">
      <c r="B185" s="22" t="s">
        <v>218</v>
      </c>
      <c r="C185" s="2"/>
      <c r="D185" s="2"/>
      <c r="E185" s="2"/>
      <c r="F185" s="2"/>
      <c r="G185" s="2"/>
      <c r="H185" s="26">
        <f>H111</f>
        <v>0</v>
      </c>
    </row>
    <row r="186" spans="1:14" ht="15" x14ac:dyDescent="0.2">
      <c r="B186" s="28" t="s">
        <v>219</v>
      </c>
      <c r="C186" s="2"/>
      <c r="D186" s="2"/>
      <c r="E186" s="2"/>
      <c r="F186" s="2"/>
      <c r="G186" s="2"/>
      <c r="H186" s="31">
        <f>Hotel_stay_Scope_3[[#Totals],[Ergebnis 
(kg CO2e / Jahr)]]</f>
        <v>0</v>
      </c>
      <c r="J186"/>
      <c r="K186"/>
      <c r="L186"/>
      <c r="M186"/>
      <c r="N186"/>
    </row>
    <row r="187" spans="1:14" ht="15" x14ac:dyDescent="0.2">
      <c r="B187" s="212" t="s">
        <v>236</v>
      </c>
      <c r="C187" s="213"/>
      <c r="D187" s="213"/>
      <c r="E187" s="213"/>
      <c r="F187" s="213"/>
      <c r="G187" s="213"/>
      <c r="H187" s="214">
        <f>SUBTOTAL(109,Geschäftsreisen_Gesamt[Ergebnis 
'[kg CO2e / Jahr']])</f>
        <v>0</v>
      </c>
      <c r="I187" s="291" t="s">
        <v>293</v>
      </c>
      <c r="J187" s="291"/>
      <c r="K187" s="291"/>
      <c r="L187"/>
      <c r="M187"/>
      <c r="N187"/>
    </row>
  </sheetData>
  <sheetProtection algorithmName="SHA-512" hashValue="SAtk/UvMjKVlja5oUq66MGuvAytc/d3/Ms/TdBGdLaR6h+AYJGsHl0kqi4Tqc+A8A6psx33m6XWUS4z0/qKmEg==" saltValue="LO2CpwelFEX7z7Ilzfqn3A==" spinCount="100000" sheet="1" objects="1" scenarios="1" selectLockedCells="1"/>
  <protectedRanges>
    <protectedRange sqref="D121:D174" name="Hotelübernachtungen"/>
    <protectedRange sqref="D102" name="Privat PWK"/>
    <protectedRange algorithmName="SHA-512" hashValue="HW+jLE+154B9KqWkeGAjoQGcbCLd25RHAZXlaIQX5MUmwwMbjrtqF8YUmDXNPVBooznIP9rmMBkXTeOfluMf7g==" saltValue="K3MEbatdHAsrcGXHTjqdlg==" spinCount="100000" sqref="D21:D75" name="Flugziele"/>
    <protectedRange algorithmName="SHA-512" hashValue="iOWFjkkICcD3UuKHL7/8i6JAFr8NLRML6AtcbK+K4dkHnoM6mZHLA7Y/KyQEJELwjLbRRm+Cqf0JmGAzoGuk8g==" saltValue="mte4OaFDc2ivngmTVuGtHA==" spinCount="100000" sqref="D93:D95" name="Bahnreisen"/>
  </protectedRanges>
  <mergeCells count="10">
    <mergeCell ref="I187:K187"/>
    <mergeCell ref="A178:M178"/>
    <mergeCell ref="A115:M115"/>
    <mergeCell ref="B2:L2"/>
    <mergeCell ref="B3:L3"/>
    <mergeCell ref="A16:M16"/>
    <mergeCell ref="B4:L6"/>
    <mergeCell ref="D8:D12"/>
    <mergeCell ref="H8:H12"/>
    <mergeCell ref="I8:I12"/>
  </mergeCells>
  <dataValidations count="1">
    <dataValidation allowBlank="1" showInputMessage="1" sqref="H108 H80 H92 H101 H120 H182" xr:uid="{00000000-0002-0000-0100-000000000000}"/>
  </dataValidations>
  <pageMargins left="0.7" right="0.7" top="0.78740157499999996" bottom="0.78740157499999996" header="0.3" footer="0.3"/>
  <pageSetup paperSize="9" orientation="portrait" r:id="rId1"/>
  <tableParts count="7">
    <tablePart r:id="rId2"/>
    <tablePart r:id="rId3"/>
    <tablePart r:id="rId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6"/>
  <sheetViews>
    <sheetView topLeftCell="A45" zoomScaleNormal="100" workbookViewId="0">
      <selection activeCell="D40" sqref="D40"/>
    </sheetView>
  </sheetViews>
  <sheetFormatPr baseColWidth="10" defaultColWidth="11.5" defaultRowHeight="13" x14ac:dyDescent="0.15"/>
  <cols>
    <col min="1" max="1" width="11.5" style="34"/>
    <col min="2" max="2" width="31.5" style="34" customWidth="1"/>
    <col min="3" max="3" width="33.1640625" style="34" customWidth="1"/>
    <col min="4" max="4" width="37.5" style="34" customWidth="1"/>
    <col min="5" max="5" width="32.5" style="80" customWidth="1"/>
    <col min="6" max="6" width="18.5" style="80" bestFit="1" customWidth="1"/>
    <col min="7" max="11" width="13.5" style="80" customWidth="1"/>
    <col min="12" max="16384" width="11.5" style="34"/>
  </cols>
  <sheetData>
    <row r="1" spans="1:20" ht="12.75" customHeight="1" thickBot="1" x14ac:dyDescent="0.2">
      <c r="E1" s="34"/>
      <c r="F1" s="34"/>
      <c r="G1" s="82"/>
      <c r="H1" s="82"/>
      <c r="I1" s="34"/>
      <c r="J1" s="34"/>
      <c r="K1" s="34"/>
      <c r="L1" s="82"/>
      <c r="M1" s="82"/>
    </row>
    <row r="2" spans="1:20" ht="12.75" customHeight="1" thickBot="1" x14ac:dyDescent="0.2">
      <c r="A2" s="83"/>
      <c r="B2" s="283" t="s">
        <v>296</v>
      </c>
      <c r="C2" s="283"/>
      <c r="D2" s="283"/>
      <c r="E2" s="283"/>
      <c r="F2" s="283"/>
      <c r="G2" s="283"/>
      <c r="H2" s="283"/>
      <c r="I2" s="283"/>
      <c r="J2" s="283"/>
      <c r="K2" s="283"/>
      <c r="L2" s="283"/>
      <c r="M2" s="84"/>
      <c r="N2" s="85"/>
    </row>
    <row r="3" spans="1:20" ht="12.75" customHeight="1" thickBot="1" x14ac:dyDescent="0.2">
      <c r="A3" s="33"/>
      <c r="B3" s="295" t="s">
        <v>208</v>
      </c>
      <c r="C3" s="295"/>
      <c r="D3" s="295"/>
      <c r="E3" s="295"/>
      <c r="F3" s="295"/>
      <c r="G3" s="295"/>
      <c r="H3" s="295"/>
      <c r="I3" s="295"/>
      <c r="J3" s="295"/>
      <c r="K3" s="295"/>
      <c r="L3" s="295"/>
    </row>
    <row r="4" spans="1:20" ht="12.75" customHeight="1" x14ac:dyDescent="0.2">
      <c r="B4" s="296" t="s">
        <v>170</v>
      </c>
      <c r="C4" s="297"/>
      <c r="D4" s="297"/>
      <c r="E4" s="297"/>
      <c r="F4" s="297"/>
      <c r="G4" s="297"/>
      <c r="H4" s="297"/>
      <c r="I4" s="297"/>
      <c r="J4" s="297"/>
      <c r="K4" s="297"/>
      <c r="L4" s="298"/>
      <c r="P4" s="79"/>
      <c r="Q4" s="79"/>
      <c r="R4" s="79"/>
      <c r="S4" s="79"/>
      <c r="T4" s="79"/>
    </row>
    <row r="5" spans="1:20" ht="12.75" customHeight="1" x14ac:dyDescent="0.2">
      <c r="B5" s="299"/>
      <c r="C5" s="300"/>
      <c r="D5" s="300"/>
      <c r="E5" s="300"/>
      <c r="F5" s="300"/>
      <c r="G5" s="300"/>
      <c r="H5" s="300"/>
      <c r="I5" s="300"/>
      <c r="J5" s="300"/>
      <c r="K5" s="300"/>
      <c r="L5" s="301"/>
      <c r="P5" s="79"/>
      <c r="Q5" s="79"/>
      <c r="R5" s="79"/>
      <c r="S5" s="79"/>
      <c r="T5" s="79"/>
    </row>
    <row r="6" spans="1:20" ht="12.75" customHeight="1" x14ac:dyDescent="0.2">
      <c r="B6" s="299"/>
      <c r="C6" s="300"/>
      <c r="D6" s="300"/>
      <c r="E6" s="300"/>
      <c r="F6" s="300"/>
      <c r="G6" s="300"/>
      <c r="H6" s="300"/>
      <c r="I6" s="300"/>
      <c r="J6" s="300"/>
      <c r="K6" s="300"/>
      <c r="L6" s="301"/>
      <c r="P6" s="79"/>
      <c r="Q6" s="79"/>
      <c r="R6" s="79"/>
      <c r="S6" s="79"/>
      <c r="T6" s="79"/>
    </row>
    <row r="7" spans="1:20" s="39" customFormat="1" ht="12.75" customHeight="1" x14ac:dyDescent="0.2">
      <c r="B7" s="38" t="s">
        <v>127</v>
      </c>
      <c r="D7" s="14" t="s">
        <v>114</v>
      </c>
      <c r="E7" s="14"/>
      <c r="F7" s="14" t="s">
        <v>115</v>
      </c>
      <c r="G7" s="126" t="s">
        <v>174</v>
      </c>
      <c r="H7" s="14"/>
      <c r="K7" s="40"/>
      <c r="L7" s="15"/>
      <c r="P7" s="79"/>
      <c r="Q7" s="79"/>
      <c r="R7" s="79"/>
      <c r="S7" s="79"/>
      <c r="T7" s="79"/>
    </row>
    <row r="8" spans="1:20" ht="12.75" customHeight="1" x14ac:dyDescent="0.2">
      <c r="B8" s="86"/>
      <c r="C8" s="22"/>
      <c r="D8" s="302" t="s">
        <v>116</v>
      </c>
      <c r="E8" s="24"/>
      <c r="F8" s="305" t="s">
        <v>116</v>
      </c>
      <c r="G8" s="34" t="s">
        <v>175</v>
      </c>
      <c r="H8" s="34"/>
      <c r="I8" s="34"/>
      <c r="J8" s="34"/>
      <c r="K8" s="37"/>
      <c r="L8" s="87"/>
      <c r="P8" s="79"/>
      <c r="Q8" s="79"/>
      <c r="R8" s="79"/>
      <c r="S8" s="79"/>
      <c r="T8" s="79"/>
    </row>
    <row r="9" spans="1:20" ht="12.75" customHeight="1" x14ac:dyDescent="0.2">
      <c r="B9" s="86"/>
      <c r="C9" s="22"/>
      <c r="D9" s="303"/>
      <c r="E9" s="24"/>
      <c r="F9" s="306"/>
      <c r="G9" s="105">
        <v>0.05</v>
      </c>
      <c r="H9" s="105">
        <v>0.05</v>
      </c>
      <c r="I9" s="105">
        <v>0.1</v>
      </c>
      <c r="J9" s="34"/>
      <c r="K9" s="37"/>
      <c r="L9" s="87"/>
      <c r="P9" s="79"/>
      <c r="Q9" s="79"/>
      <c r="R9" s="79"/>
      <c r="S9" s="79"/>
      <c r="T9" s="79"/>
    </row>
    <row r="10" spans="1:20" ht="12.75" customHeight="1" x14ac:dyDescent="0.2">
      <c r="B10" s="86"/>
      <c r="C10" s="22"/>
      <c r="D10" s="303"/>
      <c r="E10" s="24"/>
      <c r="F10" s="306"/>
      <c r="G10" s="105">
        <v>0.1</v>
      </c>
      <c r="H10" s="105">
        <v>0.2</v>
      </c>
      <c r="I10" s="105">
        <v>0.05</v>
      </c>
      <c r="J10" s="34"/>
      <c r="K10" s="37"/>
      <c r="L10" s="87"/>
      <c r="P10" s="79"/>
      <c r="Q10" s="79"/>
      <c r="R10" s="79"/>
      <c r="S10" s="79"/>
      <c r="T10" s="79"/>
    </row>
    <row r="11" spans="1:20" ht="12.75" customHeight="1" x14ac:dyDescent="0.2">
      <c r="B11" s="86"/>
      <c r="C11" s="22"/>
      <c r="D11" s="303"/>
      <c r="E11" s="24"/>
      <c r="F11" s="306"/>
      <c r="G11" s="34"/>
      <c r="H11" s="34"/>
      <c r="I11" s="34"/>
      <c r="J11" s="34"/>
      <c r="K11" s="37"/>
      <c r="L11" s="87"/>
      <c r="P11" s="79"/>
      <c r="Q11" s="79"/>
      <c r="R11" s="79"/>
      <c r="S11" s="79"/>
      <c r="T11" s="79"/>
    </row>
    <row r="12" spans="1:20" ht="12.75" customHeight="1" thickBot="1" x14ac:dyDescent="0.25">
      <c r="B12" s="88"/>
      <c r="C12" s="89"/>
      <c r="D12" s="304"/>
      <c r="E12" s="90"/>
      <c r="F12" s="307"/>
      <c r="G12" s="36"/>
      <c r="H12" s="36"/>
      <c r="I12" s="36"/>
      <c r="J12" s="36"/>
      <c r="K12" s="92"/>
      <c r="L12" s="93"/>
      <c r="P12" s="79"/>
      <c r="Q12" s="79"/>
      <c r="R12" s="79"/>
      <c r="S12" s="79"/>
      <c r="T12" s="79"/>
    </row>
    <row r="13" spans="1:20" ht="12.75" customHeight="1" x14ac:dyDescent="0.2">
      <c r="E13" s="34"/>
      <c r="F13" s="34"/>
      <c r="G13" s="34"/>
      <c r="H13" s="34"/>
      <c r="I13" s="34"/>
      <c r="J13" s="34"/>
      <c r="K13" s="34"/>
      <c r="P13" s="79"/>
      <c r="Q13" s="79"/>
      <c r="R13" s="79"/>
      <c r="S13" s="79"/>
      <c r="T13" s="79"/>
    </row>
    <row r="14" spans="1:20" ht="14" thickBot="1" x14ac:dyDescent="0.2">
      <c r="G14" s="34"/>
      <c r="H14" s="34"/>
      <c r="I14" s="34"/>
      <c r="J14" s="34"/>
      <c r="K14" s="34"/>
    </row>
    <row r="15" spans="1:20" s="79" customFormat="1" ht="15.75" customHeight="1" thickBot="1" x14ac:dyDescent="0.25">
      <c r="A15" s="292" t="s">
        <v>4</v>
      </c>
      <c r="B15" s="293"/>
      <c r="C15" s="293"/>
      <c r="D15" s="293"/>
      <c r="E15" s="293"/>
      <c r="F15" s="293"/>
      <c r="G15" s="293"/>
      <c r="H15" s="293"/>
      <c r="I15" s="293"/>
      <c r="J15" s="293"/>
      <c r="K15" s="293"/>
      <c r="L15" s="293"/>
      <c r="M15" s="294"/>
    </row>
    <row r="17" spans="1:13" ht="5" customHeight="1" x14ac:dyDescent="0.15">
      <c r="D17" s="95"/>
      <c r="E17" s="96"/>
      <c r="F17" s="96"/>
      <c r="G17" s="96"/>
      <c r="H17" s="96"/>
      <c r="I17" s="96"/>
      <c r="J17" s="96"/>
      <c r="K17" s="96"/>
    </row>
    <row r="18" spans="1:13" x14ac:dyDescent="0.15">
      <c r="A18" s="42" t="s">
        <v>240</v>
      </c>
      <c r="B18" s="43"/>
      <c r="C18" s="43"/>
      <c r="D18" s="44"/>
      <c r="E18" s="44"/>
      <c r="F18" s="44"/>
      <c r="G18" s="44"/>
      <c r="H18" s="44"/>
      <c r="I18" s="44"/>
      <c r="J18" s="44"/>
      <c r="K18" s="44"/>
      <c r="L18" s="43"/>
      <c r="M18" s="45"/>
    </row>
    <row r="19" spans="1:13" ht="15.75" customHeight="1" x14ac:dyDescent="0.15">
      <c r="A19" s="16"/>
      <c r="B19" s="16"/>
      <c r="C19" s="16"/>
      <c r="D19" s="16"/>
      <c r="E19" s="16"/>
      <c r="F19" s="16"/>
      <c r="G19" s="16"/>
      <c r="H19" s="16"/>
      <c r="I19" s="16"/>
      <c r="J19" s="16"/>
      <c r="K19" s="16"/>
      <c r="L19" s="16"/>
      <c r="M19" s="16"/>
    </row>
    <row r="20" spans="1:13" x14ac:dyDescent="0.15">
      <c r="C20" s="34" t="s">
        <v>1</v>
      </c>
      <c r="D20" s="95"/>
      <c r="E20" s="96"/>
      <c r="F20" s="96"/>
      <c r="G20" s="96"/>
      <c r="H20" s="96"/>
      <c r="I20" s="96"/>
      <c r="J20" s="96"/>
      <c r="K20" s="96"/>
    </row>
    <row r="21" spans="1:13" x14ac:dyDescent="0.15">
      <c r="C21" s="34" t="s">
        <v>2</v>
      </c>
      <c r="D21" s="95"/>
      <c r="E21" s="96"/>
      <c r="F21" s="96"/>
      <c r="G21" s="96"/>
      <c r="H21" s="96"/>
      <c r="I21" s="96"/>
      <c r="J21" s="96"/>
      <c r="K21" s="96"/>
    </row>
    <row r="22" spans="1:13" x14ac:dyDescent="0.15">
      <c r="D22" s="95"/>
      <c r="E22" s="96"/>
      <c r="F22" s="96"/>
      <c r="G22" s="96"/>
      <c r="H22" s="96"/>
      <c r="I22" s="96"/>
      <c r="J22" s="96"/>
      <c r="K22" s="96"/>
    </row>
    <row r="23" spans="1:13" x14ac:dyDescent="0.15">
      <c r="B23" s="56" t="s">
        <v>110</v>
      </c>
      <c r="C23" s="2"/>
      <c r="D23" s="125"/>
      <c r="E23" s="2"/>
      <c r="G23" s="96"/>
      <c r="H23" s="96"/>
      <c r="I23" s="96"/>
      <c r="J23" s="96"/>
      <c r="K23" s="96"/>
    </row>
    <row r="24" spans="1:13" x14ac:dyDescent="0.15">
      <c r="B24" s="96"/>
      <c r="C24" s="27"/>
      <c r="D24" s="96"/>
      <c r="E24" s="96"/>
      <c r="G24" s="96"/>
      <c r="H24" s="96"/>
      <c r="I24" s="96"/>
      <c r="J24" s="96"/>
      <c r="K24" s="96"/>
    </row>
    <row r="25" spans="1:13" s="80" customFormat="1" ht="15" customHeight="1" x14ac:dyDescent="0.15">
      <c r="B25" s="167" t="s">
        <v>171</v>
      </c>
      <c r="C25" s="167"/>
      <c r="D25" s="97" t="s">
        <v>113</v>
      </c>
      <c r="E25" s="168" t="s">
        <v>13</v>
      </c>
      <c r="G25" s="96"/>
      <c r="H25" s="96"/>
      <c r="I25" s="96"/>
      <c r="J25" s="96"/>
      <c r="K25" s="96"/>
    </row>
    <row r="26" spans="1:13" ht="14" x14ac:dyDescent="0.15">
      <c r="B26" s="122" t="s">
        <v>173</v>
      </c>
      <c r="C26" s="2"/>
      <c r="D26" s="98"/>
      <c r="E26" s="99">
        <v>220</v>
      </c>
      <c r="G26" s="96"/>
      <c r="H26" s="96"/>
      <c r="I26" s="96"/>
      <c r="J26" s="96"/>
      <c r="K26" s="96"/>
    </row>
    <row r="27" spans="1:13" ht="14" x14ac:dyDescent="0.15">
      <c r="B27" s="100" t="s">
        <v>172</v>
      </c>
      <c r="C27" s="2"/>
      <c r="D27" s="98"/>
      <c r="E27" s="99">
        <v>100</v>
      </c>
      <c r="G27" s="96"/>
      <c r="H27" s="96"/>
      <c r="I27" s="96"/>
      <c r="J27" s="96"/>
      <c r="K27" s="96"/>
    </row>
    <row r="28" spans="1:13" ht="14" x14ac:dyDescent="0.15">
      <c r="B28" s="123" t="s">
        <v>14</v>
      </c>
      <c r="C28" s="2"/>
      <c r="D28" s="124">
        <f>D27+D26</f>
        <v>0</v>
      </c>
      <c r="E28" s="99">
        <f>SUMPRODUCT(E26:E27,D26:D27)</f>
        <v>0</v>
      </c>
      <c r="G28" s="96"/>
      <c r="H28" s="96"/>
      <c r="I28" s="96"/>
      <c r="J28" s="96"/>
      <c r="K28" s="96"/>
    </row>
    <row r="29" spans="1:13" x14ac:dyDescent="0.15">
      <c r="B29" s="56" t="s">
        <v>111</v>
      </c>
      <c r="C29" s="2"/>
      <c r="D29" s="2"/>
      <c r="E29" s="133">
        <f>+D23*E28</f>
        <v>0</v>
      </c>
      <c r="G29" s="96"/>
      <c r="H29" s="96"/>
      <c r="I29" s="96"/>
      <c r="J29" s="96"/>
      <c r="K29" s="96"/>
    </row>
    <row r="30" spans="1:13" x14ac:dyDescent="0.15">
      <c r="C30" s="96"/>
      <c r="D30" s="27"/>
      <c r="E30" s="96"/>
      <c r="F30" s="96"/>
      <c r="G30" s="96"/>
      <c r="H30" s="96"/>
      <c r="I30" s="96"/>
      <c r="J30" s="96"/>
      <c r="K30" s="96"/>
    </row>
    <row r="31" spans="1:13" ht="5" customHeight="1" x14ac:dyDescent="0.15">
      <c r="D31" s="95"/>
      <c r="E31" s="96"/>
      <c r="F31" s="96"/>
      <c r="G31" s="96"/>
      <c r="H31" s="96"/>
      <c r="I31" s="96"/>
      <c r="J31" s="96"/>
      <c r="K31" s="96"/>
    </row>
    <row r="32" spans="1:13" x14ac:dyDescent="0.15">
      <c r="A32" s="42" t="s">
        <v>241</v>
      </c>
      <c r="B32" s="43"/>
      <c r="C32" s="43"/>
      <c r="D32" s="44"/>
      <c r="E32" s="44"/>
      <c r="F32" s="44"/>
      <c r="G32" s="44"/>
      <c r="H32" s="44"/>
      <c r="I32" s="44"/>
      <c r="J32" s="44"/>
      <c r="K32" s="44"/>
      <c r="L32" s="43"/>
      <c r="M32" s="45"/>
    </row>
    <row r="33" spans="1:14" x14ac:dyDescent="0.15">
      <c r="A33" s="128"/>
      <c r="D33" s="80"/>
    </row>
    <row r="34" spans="1:14" ht="15" customHeight="1" x14ac:dyDescent="0.15">
      <c r="B34" s="127" t="s">
        <v>176</v>
      </c>
      <c r="C34" s="101"/>
      <c r="D34" s="101"/>
      <c r="E34" s="101"/>
      <c r="F34" s="101"/>
      <c r="G34" s="101"/>
      <c r="H34" s="101"/>
      <c r="I34" s="101"/>
      <c r="J34" s="101"/>
    </row>
    <row r="35" spans="1:14" x14ac:dyDescent="0.15">
      <c r="B35" s="127" t="s">
        <v>284</v>
      </c>
      <c r="C35" s="101"/>
      <c r="D35" s="101"/>
      <c r="E35" s="101"/>
      <c r="F35" s="101"/>
      <c r="G35" s="101"/>
      <c r="H35" s="101"/>
      <c r="I35" s="102"/>
      <c r="J35" s="102"/>
      <c r="L35" s="222"/>
      <c r="M35" s="222"/>
      <c r="N35" s="222"/>
    </row>
    <row r="36" spans="1:14" ht="30.75" customHeight="1" x14ac:dyDescent="0.15">
      <c r="B36" s="316" t="s">
        <v>294</v>
      </c>
      <c r="C36" s="316"/>
      <c r="D36" s="316"/>
      <c r="E36" s="316"/>
      <c r="F36" s="316"/>
      <c r="G36" s="316"/>
      <c r="H36" s="316"/>
      <c r="I36" s="316"/>
      <c r="J36" s="316"/>
      <c r="K36" s="316"/>
      <c r="L36" s="229"/>
      <c r="M36" s="222"/>
      <c r="N36" s="222"/>
    </row>
    <row r="37" spans="1:14" s="80" customFormat="1" ht="15" customHeight="1" x14ac:dyDescent="0.15">
      <c r="B37" s="311" t="s">
        <v>178</v>
      </c>
      <c r="C37" s="312"/>
      <c r="D37" s="312"/>
      <c r="E37" s="313"/>
      <c r="F37" s="164"/>
      <c r="G37" s="314" t="s">
        <v>177</v>
      </c>
      <c r="H37" s="315"/>
      <c r="I37" s="315"/>
      <c r="J37" s="315"/>
      <c r="K37" s="315"/>
      <c r="L37" s="230"/>
      <c r="M37" s="231"/>
      <c r="N37" s="231"/>
    </row>
    <row r="38" spans="1:14" s="80" customFormat="1" ht="28" x14ac:dyDescent="0.15">
      <c r="B38" s="165" t="s">
        <v>3</v>
      </c>
      <c r="C38" s="19" t="s">
        <v>4</v>
      </c>
      <c r="D38" s="19" t="s">
        <v>106</v>
      </c>
      <c r="E38" s="19" t="s">
        <v>5</v>
      </c>
      <c r="F38" s="66" t="s">
        <v>128</v>
      </c>
      <c r="G38" s="19" t="s">
        <v>6</v>
      </c>
      <c r="H38" s="19" t="s">
        <v>8</v>
      </c>
      <c r="I38" s="19" t="s">
        <v>7</v>
      </c>
      <c r="J38" s="19" t="s">
        <v>9</v>
      </c>
      <c r="K38" s="20" t="s">
        <v>107</v>
      </c>
      <c r="L38" s="231"/>
      <c r="M38" s="231"/>
      <c r="N38" s="231"/>
    </row>
    <row r="39" spans="1:14" x14ac:dyDescent="0.15">
      <c r="B39" s="22" t="s">
        <v>3</v>
      </c>
      <c r="C39" s="104" t="s">
        <v>10</v>
      </c>
      <c r="D39" s="98"/>
      <c r="E39" s="244">
        <v>2.5</v>
      </c>
      <c r="F39" s="2"/>
      <c r="G39" s="248">
        <v>0.38</v>
      </c>
      <c r="H39" s="248">
        <v>0.03</v>
      </c>
      <c r="I39" s="248">
        <v>0.23</v>
      </c>
      <c r="J39" s="248">
        <v>0.05</v>
      </c>
      <c r="K39" s="249">
        <v>0.28999999999999998</v>
      </c>
      <c r="L39" s="222"/>
      <c r="M39" s="222"/>
      <c r="N39" s="222"/>
    </row>
    <row r="40" spans="1:14" x14ac:dyDescent="0.15">
      <c r="B40" s="22" t="s">
        <v>3</v>
      </c>
      <c r="C40" s="104" t="s">
        <v>11</v>
      </c>
      <c r="D40" s="98"/>
      <c r="E40" s="245">
        <v>6.5784459660613281</v>
      </c>
      <c r="F40" s="2"/>
      <c r="G40" s="250">
        <v>0.01</v>
      </c>
      <c r="H40" s="250">
        <v>0.01</v>
      </c>
      <c r="I40" s="250">
        <v>0.11</v>
      </c>
      <c r="J40" s="250">
        <v>0.18</v>
      </c>
      <c r="K40" s="251">
        <v>0.69</v>
      </c>
      <c r="L40" s="222"/>
      <c r="M40" s="222"/>
      <c r="N40" s="222"/>
    </row>
    <row r="41" spans="1:14" x14ac:dyDescent="0.15">
      <c r="B41" s="22" t="s">
        <v>3</v>
      </c>
      <c r="C41" s="104" t="s">
        <v>12</v>
      </c>
      <c r="D41" s="98"/>
      <c r="E41" s="244">
        <v>14.5</v>
      </c>
      <c r="F41" s="2"/>
      <c r="G41" s="250">
        <v>0</v>
      </c>
      <c r="H41" s="252">
        <v>3.8999999999999998E-3</v>
      </c>
      <c r="I41" s="250">
        <v>0.03</v>
      </c>
      <c r="J41" s="250">
        <v>0.16</v>
      </c>
      <c r="K41" s="251">
        <v>0.79</v>
      </c>
      <c r="L41" s="222"/>
      <c r="M41" s="222"/>
      <c r="N41" s="222"/>
    </row>
    <row r="42" spans="1:14" x14ac:dyDescent="0.15">
      <c r="B42" s="22" t="s">
        <v>3</v>
      </c>
      <c r="C42" s="104" t="s">
        <v>288</v>
      </c>
      <c r="D42" s="98"/>
      <c r="E42" s="245">
        <v>24.5</v>
      </c>
      <c r="F42" s="2"/>
      <c r="G42" s="250">
        <v>0</v>
      </c>
      <c r="H42" s="252">
        <v>1.2999999999999999E-3</v>
      </c>
      <c r="I42" s="250">
        <v>0.01</v>
      </c>
      <c r="J42" s="250">
        <v>0.2</v>
      </c>
      <c r="K42" s="251">
        <v>0.8</v>
      </c>
      <c r="L42" s="222"/>
      <c r="M42" s="222"/>
      <c r="N42" s="222"/>
    </row>
    <row r="43" spans="1:14" x14ac:dyDescent="0.15">
      <c r="B43" s="22" t="s">
        <v>3</v>
      </c>
      <c r="C43" s="104" t="s">
        <v>291</v>
      </c>
      <c r="D43" s="98"/>
      <c r="E43" s="244">
        <v>34.5</v>
      </c>
      <c r="F43" s="2"/>
      <c r="G43" s="250">
        <v>0</v>
      </c>
      <c r="H43" s="252">
        <v>1.2999999999999999E-3</v>
      </c>
      <c r="I43" s="250">
        <v>0.01</v>
      </c>
      <c r="J43" s="250">
        <v>0.2</v>
      </c>
      <c r="K43" s="251">
        <v>0.8</v>
      </c>
      <c r="L43" s="222"/>
      <c r="M43" s="222"/>
      <c r="N43" s="222"/>
    </row>
    <row r="44" spans="1:14" x14ac:dyDescent="0.15">
      <c r="B44" s="22" t="s">
        <v>3</v>
      </c>
      <c r="C44" s="104" t="s">
        <v>290</v>
      </c>
      <c r="D44" s="98"/>
      <c r="E44" s="244">
        <v>44.5</v>
      </c>
      <c r="F44" s="2"/>
      <c r="G44" s="250">
        <v>0</v>
      </c>
      <c r="H44" s="252">
        <v>1.2999999999999999E-3</v>
      </c>
      <c r="I44" s="250">
        <v>0.01</v>
      </c>
      <c r="J44" s="250">
        <v>0.2</v>
      </c>
      <c r="K44" s="251">
        <v>0.8</v>
      </c>
      <c r="L44" s="222"/>
      <c r="M44" s="222"/>
      <c r="N44" s="222"/>
    </row>
    <row r="45" spans="1:14" x14ac:dyDescent="0.15">
      <c r="B45" s="22" t="s">
        <v>3</v>
      </c>
      <c r="C45" s="104" t="s">
        <v>285</v>
      </c>
      <c r="D45" s="98"/>
      <c r="E45" s="244">
        <v>54.5</v>
      </c>
      <c r="F45" s="2"/>
      <c r="G45" s="250">
        <v>0</v>
      </c>
      <c r="H45" s="250">
        <v>0</v>
      </c>
      <c r="I45" s="250">
        <v>0</v>
      </c>
      <c r="J45" s="250">
        <v>0.26</v>
      </c>
      <c r="K45" s="251">
        <v>0.75</v>
      </c>
      <c r="L45" s="222"/>
      <c r="M45" s="222"/>
      <c r="N45" s="222"/>
    </row>
    <row r="46" spans="1:14" x14ac:dyDescent="0.15">
      <c r="B46" s="22" t="s">
        <v>3</v>
      </c>
      <c r="C46" s="104" t="s">
        <v>286</v>
      </c>
      <c r="D46" s="98"/>
      <c r="E46" s="244">
        <v>104.5</v>
      </c>
      <c r="F46" s="2"/>
      <c r="G46" s="250">
        <v>0</v>
      </c>
      <c r="H46" s="250">
        <v>0</v>
      </c>
      <c r="I46" s="250">
        <v>0</v>
      </c>
      <c r="J46" s="250">
        <v>0.34</v>
      </c>
      <c r="K46" s="251">
        <v>0.66</v>
      </c>
      <c r="L46" s="222"/>
      <c r="M46" s="222"/>
      <c r="N46" s="222"/>
    </row>
    <row r="47" spans="1:14" hidden="1" x14ac:dyDescent="0.15">
      <c r="B47" s="28" t="s">
        <v>3</v>
      </c>
      <c r="C47" s="129"/>
      <c r="D47" s="130"/>
      <c r="E47" s="131"/>
      <c r="F47" s="2"/>
      <c r="G47" s="132"/>
      <c r="H47" s="132"/>
      <c r="I47" s="132"/>
      <c r="J47" s="132"/>
      <c r="K47" s="228"/>
      <c r="L47" s="222"/>
      <c r="M47" s="222"/>
      <c r="N47" s="222"/>
    </row>
    <row r="48" spans="1:14" x14ac:dyDescent="0.15">
      <c r="B48" s="28" t="s">
        <v>131</v>
      </c>
      <c r="C48" s="2"/>
      <c r="D48" s="225">
        <f>SUBTOTAL(109,Pendelverkehr[Aufteilung in (%) der Mitarbeiter*innen])</f>
        <v>0</v>
      </c>
      <c r="E48" s="226" t="s">
        <v>181</v>
      </c>
      <c r="F48" s="2"/>
      <c r="G48" s="2"/>
      <c r="H48" s="2"/>
      <c r="I48" s="2"/>
      <c r="J48" s="2"/>
      <c r="K48" s="59"/>
      <c r="L48" s="222"/>
      <c r="M48" s="222"/>
      <c r="N48" s="222"/>
    </row>
    <row r="49" spans="1:14" customFormat="1" ht="15" x14ac:dyDescent="0.2">
      <c r="L49" s="232"/>
      <c r="M49" s="233"/>
      <c r="N49" s="233"/>
    </row>
    <row r="50" spans="1:14" ht="5" customHeight="1" x14ac:dyDescent="0.15">
      <c r="C50" s="27"/>
      <c r="D50" s="27"/>
      <c r="E50" s="47"/>
      <c r="F50" s="106"/>
      <c r="G50" s="47"/>
      <c r="H50" s="47"/>
      <c r="I50" s="47"/>
      <c r="J50" s="47"/>
      <c r="K50" s="47"/>
    </row>
    <row r="51" spans="1:14" x14ac:dyDescent="0.15">
      <c r="A51" s="107" t="s">
        <v>234</v>
      </c>
      <c r="B51" s="43"/>
      <c r="C51" s="43"/>
      <c r="D51" s="43"/>
      <c r="E51" s="44"/>
      <c r="F51" s="44"/>
      <c r="G51" s="44"/>
      <c r="H51" s="44"/>
      <c r="I51" s="44"/>
      <c r="J51" s="71"/>
      <c r="K51" s="71"/>
      <c r="L51" s="43"/>
      <c r="M51" s="45"/>
    </row>
    <row r="52" spans="1:14" x14ac:dyDescent="0.15">
      <c r="J52" s="47"/>
      <c r="K52" s="47"/>
    </row>
    <row r="53" spans="1:14" s="80" customFormat="1" ht="14" x14ac:dyDescent="0.15">
      <c r="B53" s="166" t="s">
        <v>3</v>
      </c>
      <c r="C53" s="108" t="s">
        <v>233</v>
      </c>
      <c r="D53" s="109" t="s">
        <v>15</v>
      </c>
      <c r="E53" s="109" t="s">
        <v>16</v>
      </c>
      <c r="F53" s="109" t="s">
        <v>282</v>
      </c>
      <c r="G53" s="109" t="s">
        <v>17</v>
      </c>
      <c r="H53" s="110" t="s">
        <v>108</v>
      </c>
      <c r="J53" s="47"/>
      <c r="K53" s="47"/>
    </row>
    <row r="54" spans="1:14" x14ac:dyDescent="0.15">
      <c r="B54" s="111" t="str">
        <f>C39</f>
        <v>Weniger als 5 km</v>
      </c>
      <c r="C54" s="112">
        <f t="shared" ref="C54:C61" si="0">+$E$29*$D39*E39*2</f>
        <v>0</v>
      </c>
      <c r="D54" s="30">
        <f t="shared" ref="D54:D61" si="1">+$C54*G39</f>
        <v>0</v>
      </c>
      <c r="E54" s="30">
        <f t="shared" ref="E54:F61" si="2">+$C54*H39</f>
        <v>0</v>
      </c>
      <c r="F54" s="30">
        <f t="shared" si="2"/>
        <v>0</v>
      </c>
      <c r="G54" s="30">
        <f t="shared" ref="G54:H61" si="3">+$C54*J39</f>
        <v>0</v>
      </c>
      <c r="H54" s="30">
        <f t="shared" si="3"/>
        <v>0</v>
      </c>
      <c r="J54" s="47"/>
      <c r="K54" s="47"/>
    </row>
    <row r="55" spans="1:14" x14ac:dyDescent="0.15">
      <c r="B55" s="103" t="str">
        <f>C40</f>
        <v>5 - 9 Kilometer</v>
      </c>
      <c r="C55" s="112">
        <f t="shared" si="0"/>
        <v>0</v>
      </c>
      <c r="D55" s="30">
        <f t="shared" si="1"/>
        <v>0</v>
      </c>
      <c r="E55" s="30">
        <f t="shared" si="2"/>
        <v>0</v>
      </c>
      <c r="F55" s="30">
        <f t="shared" si="2"/>
        <v>0</v>
      </c>
      <c r="G55" s="30">
        <f t="shared" si="3"/>
        <v>0</v>
      </c>
      <c r="H55" s="30">
        <f t="shared" si="3"/>
        <v>0</v>
      </c>
      <c r="J55" s="47"/>
      <c r="K55" s="47"/>
    </row>
    <row r="56" spans="1:14" x14ac:dyDescent="0.15">
      <c r="B56" s="111" t="str">
        <f>C41</f>
        <v>10 - 19 Kilometer</v>
      </c>
      <c r="C56" s="112">
        <f t="shared" si="0"/>
        <v>0</v>
      </c>
      <c r="D56" s="30">
        <f t="shared" si="1"/>
        <v>0</v>
      </c>
      <c r="E56" s="30">
        <f t="shared" si="2"/>
        <v>0</v>
      </c>
      <c r="F56" s="30">
        <f t="shared" si="2"/>
        <v>0</v>
      </c>
      <c r="G56" s="30">
        <f t="shared" si="3"/>
        <v>0</v>
      </c>
      <c r="H56" s="30">
        <f t="shared" si="3"/>
        <v>0</v>
      </c>
      <c r="J56" s="47"/>
      <c r="K56" s="47"/>
    </row>
    <row r="57" spans="1:14" x14ac:dyDescent="0.15">
      <c r="B57" s="103" t="str">
        <f>C42</f>
        <v>20 - 29 Kilometer</v>
      </c>
      <c r="C57" s="112">
        <f t="shared" si="0"/>
        <v>0</v>
      </c>
      <c r="D57" s="30">
        <f t="shared" si="1"/>
        <v>0</v>
      </c>
      <c r="E57" s="30">
        <f t="shared" si="2"/>
        <v>0</v>
      </c>
      <c r="F57" s="30">
        <f t="shared" si="2"/>
        <v>0</v>
      </c>
      <c r="G57" s="30">
        <f t="shared" si="3"/>
        <v>0</v>
      </c>
      <c r="H57" s="30">
        <f t="shared" si="3"/>
        <v>0</v>
      </c>
      <c r="J57" s="47"/>
      <c r="K57" s="47"/>
    </row>
    <row r="58" spans="1:14" x14ac:dyDescent="0.15">
      <c r="B58" s="103" t="s">
        <v>287</v>
      </c>
      <c r="C58" s="112">
        <f t="shared" si="0"/>
        <v>0</v>
      </c>
      <c r="D58" s="30">
        <f t="shared" si="1"/>
        <v>0</v>
      </c>
      <c r="E58" s="30">
        <f t="shared" si="2"/>
        <v>0</v>
      </c>
      <c r="F58" s="30">
        <f t="shared" si="2"/>
        <v>0</v>
      </c>
      <c r="G58" s="30">
        <f t="shared" si="3"/>
        <v>0</v>
      </c>
      <c r="H58" s="30">
        <f t="shared" si="3"/>
        <v>0</v>
      </c>
      <c r="J58" s="47"/>
      <c r="K58" s="47"/>
    </row>
    <row r="59" spans="1:14" x14ac:dyDescent="0.15">
      <c r="B59" s="103" t="s">
        <v>289</v>
      </c>
      <c r="C59" s="112">
        <f t="shared" si="0"/>
        <v>0</v>
      </c>
      <c r="D59" s="30">
        <f t="shared" si="1"/>
        <v>0</v>
      </c>
      <c r="E59" s="30">
        <f t="shared" si="2"/>
        <v>0</v>
      </c>
      <c r="F59" s="30">
        <f t="shared" si="2"/>
        <v>0</v>
      </c>
      <c r="G59" s="30">
        <f t="shared" si="3"/>
        <v>0</v>
      </c>
      <c r="H59" s="30">
        <f t="shared" si="3"/>
        <v>0</v>
      </c>
      <c r="J59" s="47"/>
      <c r="K59" s="47"/>
    </row>
    <row r="60" spans="1:14" ht="13" customHeight="1" x14ac:dyDescent="0.15">
      <c r="B60" s="111" t="str">
        <f>C45</f>
        <v>50 - 99 Kilometer</v>
      </c>
      <c r="C60" s="112">
        <f t="shared" si="0"/>
        <v>0</v>
      </c>
      <c r="D60" s="30">
        <f t="shared" si="1"/>
        <v>0</v>
      </c>
      <c r="E60" s="30">
        <f t="shared" si="2"/>
        <v>0</v>
      </c>
      <c r="F60" s="30">
        <f t="shared" si="2"/>
        <v>0</v>
      </c>
      <c r="G60" s="30">
        <f t="shared" si="3"/>
        <v>0</v>
      </c>
      <c r="H60" s="30">
        <f t="shared" si="3"/>
        <v>0</v>
      </c>
      <c r="J60" s="47"/>
      <c r="K60" s="47"/>
    </row>
    <row r="61" spans="1:14" x14ac:dyDescent="0.15">
      <c r="B61" s="103" t="str">
        <f>C46</f>
        <v>mehr als 100 Kilometer</v>
      </c>
      <c r="C61" s="112">
        <f t="shared" si="0"/>
        <v>0</v>
      </c>
      <c r="D61" s="30">
        <f t="shared" si="1"/>
        <v>0</v>
      </c>
      <c r="E61" s="30">
        <f t="shared" si="2"/>
        <v>0</v>
      </c>
      <c r="F61" s="30">
        <f t="shared" si="2"/>
        <v>0</v>
      </c>
      <c r="G61" s="30">
        <f t="shared" si="3"/>
        <v>0</v>
      </c>
      <c r="H61" s="30">
        <f t="shared" si="3"/>
        <v>0</v>
      </c>
      <c r="J61" s="47"/>
      <c r="K61" s="47"/>
    </row>
    <row r="62" spans="1:14" x14ac:dyDescent="0.15">
      <c r="B62" s="113" t="s">
        <v>0</v>
      </c>
      <c r="C62" s="114">
        <f t="shared" ref="C62:H62" si="4">SUM(C54:C61)</f>
        <v>0</v>
      </c>
      <c r="D62" s="115">
        <f>SUM(D54:D61)</f>
        <v>0</v>
      </c>
      <c r="E62" s="115">
        <f t="shared" si="4"/>
        <v>0</v>
      </c>
      <c r="F62" s="115">
        <f t="shared" si="4"/>
        <v>0</v>
      </c>
      <c r="G62" s="115">
        <f t="shared" si="4"/>
        <v>0</v>
      </c>
      <c r="H62" s="116">
        <f t="shared" si="4"/>
        <v>0</v>
      </c>
      <c r="J62" s="47"/>
      <c r="K62" s="47"/>
    </row>
    <row r="63" spans="1:14" x14ac:dyDescent="0.15">
      <c r="B63" s="113" t="s">
        <v>18</v>
      </c>
      <c r="C63" s="117" t="str">
        <f>IFERROR(C62/$C$62,"Mitarbeiteranzahl?")</f>
        <v>Mitarbeiteranzahl?</v>
      </c>
      <c r="D63" s="118" t="str">
        <f>IFERROR(D62/C62,"Mitarbeiteranzahl?")</f>
        <v>Mitarbeiteranzahl?</v>
      </c>
      <c r="E63" s="118" t="str">
        <f>IFERROR(E62/$C$62,"Mitarbeiteranzahl?")</f>
        <v>Mitarbeiteranzahl?</v>
      </c>
      <c r="F63" s="118" t="str">
        <f>IFERROR(F62/$C$62,"Mitarbeiteranzahl?")</f>
        <v>Mitarbeiteranzahl?</v>
      </c>
      <c r="G63" s="118" t="str">
        <f>IFERROR(G62/$C$62,"Mitarbeiteranzahl?")</f>
        <v>Mitarbeiteranzahl?</v>
      </c>
      <c r="H63" s="117" t="str">
        <f>IFERROR(H62/$C$62,"Mitarbeiteranzahl?")</f>
        <v>Mitarbeiteranzahl?</v>
      </c>
      <c r="J63" s="47"/>
      <c r="K63" s="47"/>
    </row>
    <row r="64" spans="1:14" x14ac:dyDescent="0.15">
      <c r="C64" s="27"/>
      <c r="D64" s="119"/>
      <c r="E64" s="47"/>
      <c r="F64" s="47"/>
      <c r="G64" s="47"/>
      <c r="H64" s="47"/>
      <c r="I64" s="47"/>
      <c r="J64" s="47"/>
      <c r="K64" s="47"/>
    </row>
    <row r="65" spans="1:13" ht="5" customHeight="1" x14ac:dyDescent="0.15">
      <c r="C65" s="27"/>
      <c r="D65" s="27"/>
      <c r="E65" s="47"/>
      <c r="F65" s="47"/>
      <c r="G65" s="47"/>
      <c r="H65" s="47"/>
      <c r="I65" s="47"/>
      <c r="J65" s="47"/>
      <c r="K65" s="47"/>
    </row>
    <row r="66" spans="1:13" x14ac:dyDescent="0.15">
      <c r="A66" s="144" t="s">
        <v>230</v>
      </c>
      <c r="B66" s="43"/>
      <c r="C66" s="43"/>
      <c r="D66" s="43"/>
      <c r="E66" s="44"/>
      <c r="F66" s="44"/>
      <c r="G66" s="44"/>
      <c r="H66" s="71"/>
      <c r="I66" s="71"/>
      <c r="J66" s="71"/>
      <c r="K66" s="71"/>
      <c r="L66" s="43"/>
      <c r="M66" s="45"/>
    </row>
    <row r="67" spans="1:13" x14ac:dyDescent="0.15">
      <c r="A67" s="134"/>
      <c r="H67" s="47"/>
      <c r="I67" s="47"/>
      <c r="J67" s="47"/>
      <c r="K67" s="47"/>
    </row>
    <row r="68" spans="1:13" x14ac:dyDescent="0.15">
      <c r="B68" s="34" t="s">
        <v>19</v>
      </c>
      <c r="D68" s="80"/>
      <c r="G68" s="47"/>
      <c r="H68" s="47"/>
      <c r="I68" s="34"/>
      <c r="J68" s="47"/>
      <c r="K68" s="47"/>
    </row>
    <row r="69" spans="1:13" x14ac:dyDescent="0.15">
      <c r="B69" s="34" t="s">
        <v>20</v>
      </c>
      <c r="D69" s="80"/>
      <c r="G69" s="47"/>
      <c r="H69" s="47"/>
      <c r="I69" s="34"/>
      <c r="J69" s="47"/>
      <c r="K69" s="47"/>
    </row>
    <row r="70" spans="1:13" x14ac:dyDescent="0.15">
      <c r="B70" s="135" t="s">
        <v>126</v>
      </c>
      <c r="C70" s="135"/>
      <c r="D70" s="135"/>
      <c r="E70" s="135"/>
      <c r="F70" s="135"/>
      <c r="G70" s="135"/>
      <c r="H70" s="135"/>
      <c r="I70" s="34"/>
      <c r="J70" s="47"/>
      <c r="K70" s="47"/>
    </row>
    <row r="71" spans="1:13" s="154" customFormat="1" ht="30" x14ac:dyDescent="0.2">
      <c r="B71" s="51" t="s">
        <v>27</v>
      </c>
      <c r="C71" s="169" t="s">
        <v>128</v>
      </c>
      <c r="D71" s="51" t="s">
        <v>231</v>
      </c>
      <c r="E71" s="51" t="s">
        <v>232</v>
      </c>
      <c r="F71" s="170" t="s">
        <v>223</v>
      </c>
      <c r="G71" s="171"/>
      <c r="H71" s="171"/>
      <c r="I71" s="171"/>
      <c r="J71" s="171"/>
      <c r="K71" s="171"/>
    </row>
    <row r="72" spans="1:13" x14ac:dyDescent="0.15">
      <c r="B72" s="28" t="s">
        <v>21</v>
      </c>
      <c r="C72" s="2"/>
      <c r="D72" s="253">
        <f>E62</f>
        <v>0</v>
      </c>
      <c r="E72" s="25">
        <v>3.0000000000000001E-3</v>
      </c>
      <c r="F72" s="26">
        <f>IFERROR(MA_mobi_gesamt[[#This Row],[Gesamte Entfernung 
(Hin-&amp; Zurück): Pkm / Jahr]]*MA_mobi_gesamt[[#This Row],[Emissionsfaktor 
(kg CO2e / Pkm )]],"k.A.")</f>
        <v>0</v>
      </c>
      <c r="G72" s="47"/>
      <c r="H72" s="47"/>
      <c r="I72" s="120"/>
      <c r="J72" s="47"/>
      <c r="K72" s="47"/>
    </row>
    <row r="73" spans="1:13" x14ac:dyDescent="0.15">
      <c r="B73" s="28" t="s">
        <v>22</v>
      </c>
      <c r="C73" s="2"/>
      <c r="D73" s="254">
        <f>H62</f>
        <v>0</v>
      </c>
      <c r="E73" s="25">
        <v>0.16400000000000001</v>
      </c>
      <c r="F73" s="26">
        <f>IFERROR(MA_mobi_gesamt[[#This Row],[Gesamte Entfernung 
(Hin-&amp; Zurück): Pkm / Jahr]]*MA_mobi_gesamt[[#This Row],[Emissionsfaktor 
(kg CO2e / Pkm )]],"k.A.")</f>
        <v>0</v>
      </c>
      <c r="G73" s="47"/>
      <c r="H73" s="47"/>
      <c r="I73" s="120"/>
      <c r="J73" s="47"/>
      <c r="K73" s="47"/>
    </row>
    <row r="74" spans="1:13" x14ac:dyDescent="0.15">
      <c r="B74" s="103" t="s">
        <v>23</v>
      </c>
      <c r="C74" s="2"/>
      <c r="D74" s="254">
        <f>G62</f>
        <v>0</v>
      </c>
      <c r="E74" s="25">
        <v>6.3700000000000007E-2</v>
      </c>
      <c r="F74" s="26">
        <f>IFERROR(MA_mobi_gesamt[[#This Row],[Gesamte Entfernung 
(Hin-&amp; Zurück): Pkm / Jahr]]*MA_mobi_gesamt[[#This Row],[Emissionsfaktor 
(kg CO2e / Pkm )]],"k.A.")</f>
        <v>0</v>
      </c>
      <c r="G74" s="47"/>
      <c r="H74" s="47"/>
      <c r="I74" s="120"/>
      <c r="J74" s="47"/>
      <c r="K74" s="47"/>
    </row>
    <row r="75" spans="1:13" ht="15" x14ac:dyDescent="0.2">
      <c r="B75" s="55" t="s">
        <v>24</v>
      </c>
      <c r="C75" s="2"/>
      <c r="D75" s="121">
        <f>SUBTOTAL(109,MA_mobi_gesamt[Gesamte Entfernung 
(Hin-&amp; Zurück): Pkm / Jahr])</f>
        <v>0</v>
      </c>
      <c r="E75" s="129"/>
      <c r="F75" s="31">
        <f>SUBTOTAL(109,MA_mobi_gesamt[Ergebnis 
(kg CO2e / Jahr)])</f>
        <v>0</v>
      </c>
      <c r="G75" s="310" t="s">
        <v>278</v>
      </c>
      <c r="H75" s="310"/>
      <c r="I75" s="310"/>
      <c r="J75" s="310"/>
      <c r="K75" s="310"/>
      <c r="L75" s="310"/>
    </row>
    <row r="76" spans="1:13" x14ac:dyDescent="0.15">
      <c r="C76" s="27"/>
      <c r="D76" s="27"/>
      <c r="E76" s="47"/>
      <c r="F76" s="47"/>
    </row>
  </sheetData>
  <sheetProtection algorithmName="SHA-512" hashValue="bbyVzUkwoSs8tfBX3TY+b9FeQY/G2mogQYoU0Wi+iiAYORgcjj+I6WqpS1XxhhD7nqLX6NAXIajf0TTUv4UpUw==" saltValue="IU7wHPqEtmBnXkG8LYTa0w==" spinCount="100000" sheet="1" objects="1" scenarios="1" selectLockedCells="1"/>
  <protectedRanges>
    <protectedRange sqref="D72:D74 G39:K47" name="Individuelle_Mobilitätsdaten"/>
    <protectedRange sqref="D23 D26:D27 D39:D47" name="Mitarbeiterdaten_Klinik"/>
  </protectedRanges>
  <mergeCells count="10">
    <mergeCell ref="B2:L2"/>
    <mergeCell ref="B3:L3"/>
    <mergeCell ref="B4:L6"/>
    <mergeCell ref="D8:D12"/>
    <mergeCell ref="F8:F12"/>
    <mergeCell ref="G75:L75"/>
    <mergeCell ref="A15:M15"/>
    <mergeCell ref="B37:E37"/>
    <mergeCell ref="G37:K37"/>
    <mergeCell ref="B36:K36"/>
  </mergeCells>
  <conditionalFormatting sqref="E76">
    <cfRule type="expression" dxfId="0" priority="1">
      <formula>#REF!="Defaultwerte"</formula>
    </cfRule>
  </conditionalFormatting>
  <dataValidations count="1">
    <dataValidation allowBlank="1" showInputMessage="1" sqref="E71:F71" xr:uid="{00000000-0002-0000-0200-000000000000}"/>
  </dataValidations>
  <pageMargins left="0.7" right="0.7" top="0.78740157499999996" bottom="0.78740157499999996"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35"/>
  <sheetViews>
    <sheetView tabSelected="1" topLeftCell="A93" zoomScale="84" zoomScaleNormal="189" workbookViewId="0">
      <selection activeCell="D92" sqref="D92"/>
    </sheetView>
  </sheetViews>
  <sheetFormatPr baseColWidth="10" defaultColWidth="11.5" defaultRowHeight="13" x14ac:dyDescent="0.15"/>
  <cols>
    <col min="1" max="1" width="17" style="34" customWidth="1"/>
    <col min="2" max="2" width="46.5" style="34" customWidth="1"/>
    <col min="3" max="3" width="34.1640625" style="34" customWidth="1"/>
    <col min="4" max="4" width="30" style="80" customWidth="1"/>
    <col min="5" max="5" width="23.5" style="80" customWidth="1"/>
    <col min="6" max="6" width="32.5" style="80" customWidth="1"/>
    <col min="7" max="7" width="23.5" style="80" customWidth="1"/>
    <col min="8" max="8" width="22.5" style="34" bestFit="1" customWidth="1"/>
    <col min="9" max="9" width="44.5" style="34" customWidth="1"/>
    <col min="10" max="12" width="11.5" style="34"/>
    <col min="13" max="13" width="29.83203125" style="34" customWidth="1"/>
    <col min="14" max="19" width="11.5" style="34"/>
    <col min="20" max="20" width="21.5" style="34" customWidth="1"/>
    <col min="21" max="16384" width="11.5" style="34"/>
  </cols>
  <sheetData>
    <row r="1" spans="1:20" ht="12.75" customHeight="1" thickBot="1" x14ac:dyDescent="0.2">
      <c r="D1" s="34"/>
      <c r="E1" s="34"/>
      <c r="F1" s="34"/>
      <c r="G1" s="82"/>
      <c r="H1" s="82"/>
      <c r="L1" s="82"/>
      <c r="M1" s="82"/>
    </row>
    <row r="2" spans="1:20" ht="12.75" customHeight="1" thickBot="1" x14ac:dyDescent="0.2">
      <c r="A2" s="83"/>
      <c r="B2" s="283" t="s">
        <v>296</v>
      </c>
      <c r="C2" s="283"/>
      <c r="D2" s="283"/>
      <c r="E2" s="283"/>
      <c r="F2" s="283"/>
      <c r="G2" s="283"/>
      <c r="H2" s="283"/>
      <c r="I2" s="283"/>
      <c r="J2" s="283"/>
      <c r="K2" s="283"/>
      <c r="L2" s="283"/>
      <c r="M2" s="84"/>
      <c r="N2" s="85"/>
    </row>
    <row r="3" spans="1:20" ht="12.75" customHeight="1" thickBot="1" x14ac:dyDescent="0.2">
      <c r="A3" s="33"/>
      <c r="B3" s="295" t="s">
        <v>208</v>
      </c>
      <c r="C3" s="295"/>
      <c r="D3" s="295"/>
      <c r="E3" s="295"/>
      <c r="F3" s="295"/>
      <c r="G3" s="295"/>
      <c r="H3" s="295"/>
      <c r="I3" s="295"/>
      <c r="J3" s="295"/>
      <c r="K3" s="295"/>
      <c r="L3" s="295"/>
    </row>
    <row r="4" spans="1:20" ht="12.75" customHeight="1" x14ac:dyDescent="0.15">
      <c r="B4" s="296" t="s">
        <v>180</v>
      </c>
      <c r="C4" s="297"/>
      <c r="D4" s="297"/>
      <c r="E4" s="297"/>
      <c r="F4" s="297"/>
      <c r="G4" s="297"/>
      <c r="H4" s="297"/>
      <c r="I4" s="297"/>
      <c r="J4" s="297"/>
      <c r="K4" s="297"/>
      <c r="L4" s="298"/>
    </row>
    <row r="5" spans="1:20" ht="12.75" customHeight="1" x14ac:dyDescent="0.15">
      <c r="B5" s="299"/>
      <c r="C5" s="300"/>
      <c r="D5" s="300"/>
      <c r="E5" s="300"/>
      <c r="F5" s="300"/>
      <c r="G5" s="300"/>
      <c r="H5" s="300"/>
      <c r="I5" s="300"/>
      <c r="J5" s="300"/>
      <c r="K5" s="300"/>
      <c r="L5" s="301"/>
    </row>
    <row r="6" spans="1:20" ht="12.75" customHeight="1" x14ac:dyDescent="0.15">
      <c r="B6" s="299"/>
      <c r="C6" s="300"/>
      <c r="D6" s="300"/>
      <c r="E6" s="300"/>
      <c r="F6" s="300"/>
      <c r="G6" s="300"/>
      <c r="H6" s="300"/>
      <c r="I6" s="300"/>
      <c r="J6" s="300"/>
      <c r="K6" s="300"/>
      <c r="L6" s="301"/>
    </row>
    <row r="7" spans="1:20" s="39" customFormat="1" ht="12.75" customHeight="1" x14ac:dyDescent="0.2">
      <c r="B7" s="38" t="s">
        <v>127</v>
      </c>
      <c r="D7" s="14" t="s">
        <v>114</v>
      </c>
      <c r="E7" s="126" t="s">
        <v>174</v>
      </c>
      <c r="F7" s="126"/>
      <c r="G7" s="14"/>
      <c r="H7" s="14" t="s">
        <v>115</v>
      </c>
      <c r="I7"/>
      <c r="K7" s="40"/>
      <c r="L7" s="15"/>
      <c r="P7" s="34"/>
      <c r="Q7" s="34"/>
      <c r="R7" s="34"/>
      <c r="S7" s="34"/>
      <c r="T7" s="34"/>
    </row>
    <row r="8" spans="1:20" ht="12.75" customHeight="1" x14ac:dyDescent="0.15">
      <c r="B8" s="86"/>
      <c r="C8" s="22"/>
      <c r="D8" s="302" t="s">
        <v>116</v>
      </c>
      <c r="E8" s="34" t="s">
        <v>175</v>
      </c>
      <c r="F8" s="34"/>
      <c r="G8" s="34"/>
      <c r="H8" s="305" t="s">
        <v>116</v>
      </c>
      <c r="K8" s="37"/>
      <c r="L8" s="87"/>
    </row>
    <row r="9" spans="1:20" ht="12.75" customHeight="1" x14ac:dyDescent="0.2">
      <c r="B9" s="86"/>
      <c r="C9" s="22"/>
      <c r="D9" s="303"/>
      <c r="E9" s="146">
        <v>10</v>
      </c>
      <c r="F9"/>
      <c r="G9"/>
      <c r="H9" s="306"/>
      <c r="K9" s="37"/>
      <c r="L9" s="87"/>
    </row>
    <row r="10" spans="1:20" ht="12.75" customHeight="1" x14ac:dyDescent="0.2">
      <c r="B10" s="86"/>
      <c r="C10" s="22"/>
      <c r="D10" s="303"/>
      <c r="E10" s="146">
        <v>20</v>
      </c>
      <c r="F10"/>
      <c r="G10"/>
      <c r="H10" s="306"/>
      <c r="K10" s="37"/>
      <c r="L10" s="87"/>
    </row>
    <row r="11" spans="1:20" ht="12.75" customHeight="1" x14ac:dyDescent="0.15">
      <c r="B11" s="86"/>
      <c r="C11" s="22"/>
      <c r="D11" s="303"/>
      <c r="E11" s="34"/>
      <c r="F11" s="34"/>
      <c r="G11" s="34"/>
      <c r="H11" s="306"/>
      <c r="K11" s="37"/>
      <c r="L11" s="87"/>
    </row>
    <row r="12" spans="1:20" ht="12.75" customHeight="1" thickBot="1" x14ac:dyDescent="0.2">
      <c r="B12" s="88"/>
      <c r="C12" s="89"/>
      <c r="D12" s="304"/>
      <c r="E12" s="36"/>
      <c r="F12" s="36"/>
      <c r="G12" s="36"/>
      <c r="H12" s="307"/>
      <c r="I12" s="36"/>
      <c r="J12" s="36"/>
      <c r="K12" s="92"/>
      <c r="L12" s="93"/>
    </row>
    <row r="13" spans="1:20" ht="12.75" customHeight="1" x14ac:dyDescent="0.15">
      <c r="D13" s="34"/>
      <c r="E13" s="34"/>
      <c r="F13" s="34"/>
      <c r="G13" s="34"/>
    </row>
    <row r="14" spans="1:20" ht="14" thickBot="1" x14ac:dyDescent="0.2">
      <c r="D14" s="34"/>
      <c r="G14" s="34"/>
    </row>
    <row r="15" spans="1:20" ht="15.75" customHeight="1" thickBot="1" x14ac:dyDescent="0.2">
      <c r="A15" s="292" t="s">
        <v>179</v>
      </c>
      <c r="B15" s="293"/>
      <c r="C15" s="293"/>
      <c r="D15" s="293"/>
      <c r="E15" s="293"/>
      <c r="F15" s="293"/>
      <c r="G15" s="293"/>
      <c r="H15" s="293"/>
      <c r="I15" s="293"/>
      <c r="J15" s="293"/>
      <c r="K15" s="293"/>
      <c r="L15" s="293"/>
      <c r="M15" s="294"/>
    </row>
    <row r="17" spans="1:13" ht="5" customHeight="1" x14ac:dyDescent="0.15">
      <c r="H17" s="80"/>
      <c r="I17" s="80"/>
      <c r="J17" s="80"/>
      <c r="K17" s="27"/>
    </row>
    <row r="18" spans="1:13" x14ac:dyDescent="0.15">
      <c r="A18" s="42" t="s">
        <v>221</v>
      </c>
      <c r="B18" s="43"/>
      <c r="C18" s="43"/>
      <c r="D18" s="44"/>
      <c r="E18" s="44"/>
      <c r="F18" s="44"/>
      <c r="G18" s="44"/>
      <c r="H18" s="44"/>
      <c r="I18" s="44"/>
      <c r="J18" s="44"/>
      <c r="K18" s="44"/>
      <c r="L18" s="43"/>
      <c r="M18" s="45"/>
    </row>
    <row r="19" spans="1:13" x14ac:dyDescent="0.15">
      <c r="D19" s="34"/>
      <c r="E19" s="34"/>
      <c r="F19" s="161"/>
      <c r="G19" s="161"/>
      <c r="H19" s="161"/>
      <c r="I19" s="161"/>
      <c r="J19" s="161"/>
    </row>
    <row r="20" spans="1:13" ht="43" x14ac:dyDescent="0.2">
      <c r="B20" s="145" t="s">
        <v>184</v>
      </c>
      <c r="C20" s="137" t="s">
        <v>185</v>
      </c>
      <c r="D20" s="136" t="s">
        <v>182</v>
      </c>
      <c r="E20" s="19" t="s">
        <v>255</v>
      </c>
      <c r="F20" s="51" t="s">
        <v>245</v>
      </c>
      <c r="G20" s="20" t="s">
        <v>225</v>
      </c>
      <c r="H20" s="189" t="s">
        <v>224</v>
      </c>
      <c r="I20" s="190" t="s">
        <v>186</v>
      </c>
      <c r="J20" s="190" t="s">
        <v>28</v>
      </c>
    </row>
    <row r="21" spans="1:13" ht="14" x14ac:dyDescent="0.15">
      <c r="B21" s="141" t="s">
        <v>25</v>
      </c>
      <c r="C21" s="138" t="s">
        <v>205</v>
      </c>
      <c r="D21" s="139"/>
      <c r="E21" s="242">
        <v>167.04190443684655</v>
      </c>
      <c r="F21" s="149">
        <f>E21*pat_notf_heli[[#This Row],[Anzahl (Notfallpatienten)]]</f>
        <v>0</v>
      </c>
      <c r="G21" s="32">
        <v>4.3157538461538456</v>
      </c>
      <c r="H21" s="187">
        <f>pat_notf_heli[[#This Row],[Gesamte Distanz 
'[Pkm / Jahr']]]*pat_notf_heli[[#This Row],[Emissionsfaktor 
'[kg CO2e / Pkm']]]</f>
        <v>0</v>
      </c>
      <c r="I21" s="188" t="s">
        <v>183</v>
      </c>
      <c r="J21" s="188" t="s">
        <v>152</v>
      </c>
    </row>
    <row r="22" spans="1:13" x14ac:dyDescent="0.15">
      <c r="B22" s="55" t="s">
        <v>268</v>
      </c>
      <c r="C22" s="2"/>
      <c r="D22" s="174">
        <f>SUBTOTAL(109,pat_notf_heli[Anzahl (Notfallpatienten)])</f>
        <v>0</v>
      </c>
      <c r="E22" s="2"/>
      <c r="F22" s="2"/>
      <c r="G22" s="2"/>
      <c r="H22" s="148">
        <f>SUBTOTAL(109,pat_notf_heli[Ergebnis 
'[kg CO2e / Jahr']])</f>
        <v>0</v>
      </c>
      <c r="I22" s="2"/>
      <c r="J22" s="2"/>
    </row>
    <row r="23" spans="1:13" hidden="1" x14ac:dyDescent="0.15">
      <c r="B23" s="27"/>
      <c r="C23" s="27"/>
      <c r="D23" s="47"/>
      <c r="E23" s="47"/>
      <c r="F23" s="34"/>
      <c r="G23" s="34"/>
    </row>
    <row r="24" spans="1:13" ht="13" hidden="1" customHeight="1" x14ac:dyDescent="0.15">
      <c r="D24" s="34"/>
      <c r="E24" s="34"/>
      <c r="F24" s="34"/>
      <c r="G24" s="34"/>
    </row>
    <row r="25" spans="1:13" hidden="1" x14ac:dyDescent="0.15">
      <c r="A25" s="42" t="s">
        <v>269</v>
      </c>
      <c r="B25" s="43"/>
      <c r="C25" s="43"/>
      <c r="D25" s="44"/>
      <c r="E25" s="44"/>
      <c r="F25" s="44"/>
      <c r="G25" s="44"/>
      <c r="H25" s="44"/>
      <c r="I25" s="44"/>
      <c r="J25" s="44"/>
      <c r="K25" s="44"/>
      <c r="L25" s="43"/>
      <c r="M25" s="45"/>
    </row>
    <row r="26" spans="1:13" hidden="1" x14ac:dyDescent="0.15">
      <c r="D26" s="34"/>
      <c r="E26" s="34"/>
      <c r="F26" s="34"/>
      <c r="G26" s="34"/>
    </row>
    <row r="27" spans="1:13" hidden="1" x14ac:dyDescent="0.15">
      <c r="B27" s="34" t="s">
        <v>112</v>
      </c>
      <c r="C27" s="34" t="s">
        <v>35</v>
      </c>
      <c r="D27" s="34" t="s">
        <v>36</v>
      </c>
      <c r="E27" s="34" t="s">
        <v>37</v>
      </c>
      <c r="F27" s="34" t="s">
        <v>38</v>
      </c>
      <c r="G27" s="34" t="s">
        <v>39</v>
      </c>
      <c r="H27" s="34" t="s">
        <v>40</v>
      </c>
      <c r="I27" s="34" t="s">
        <v>41</v>
      </c>
      <c r="J27" s="34" t="s">
        <v>42</v>
      </c>
      <c r="K27" s="34" t="s">
        <v>43</v>
      </c>
      <c r="L27" s="34" t="s">
        <v>44</v>
      </c>
      <c r="M27" s="34" t="s">
        <v>187</v>
      </c>
    </row>
    <row r="28" spans="1:13" hidden="1" x14ac:dyDescent="0.15">
      <c r="B28" s="34" t="s">
        <v>35</v>
      </c>
      <c r="C28" s="34">
        <v>20</v>
      </c>
      <c r="D28" s="34">
        <v>193</v>
      </c>
      <c r="E28" s="34">
        <v>477</v>
      </c>
      <c r="F28" s="34">
        <v>326</v>
      </c>
      <c r="G28" s="34">
        <v>547</v>
      </c>
      <c r="H28" s="34">
        <v>567</v>
      </c>
      <c r="I28" s="34">
        <v>537</v>
      </c>
      <c r="J28" s="34">
        <v>507</v>
      </c>
      <c r="K28" s="34">
        <v>460</v>
      </c>
      <c r="L28" s="34">
        <v>322</v>
      </c>
      <c r="M28" s="34" t="s">
        <v>188</v>
      </c>
    </row>
    <row r="29" spans="1:13" hidden="1" x14ac:dyDescent="0.15">
      <c r="B29" s="34" t="s">
        <v>36</v>
      </c>
      <c r="C29" s="34">
        <v>193</v>
      </c>
      <c r="D29" s="34">
        <v>20</v>
      </c>
      <c r="E29" s="34">
        <v>289</v>
      </c>
      <c r="F29" s="34">
        <v>336</v>
      </c>
      <c r="G29" s="34">
        <v>531</v>
      </c>
      <c r="H29" s="34">
        <v>599</v>
      </c>
      <c r="I29" s="34">
        <v>623</v>
      </c>
      <c r="J29" s="34">
        <v>632</v>
      </c>
      <c r="K29" s="34">
        <v>585</v>
      </c>
      <c r="L29" s="34">
        <v>447</v>
      </c>
      <c r="M29" s="34" t="s">
        <v>189</v>
      </c>
    </row>
    <row r="30" spans="1:13" hidden="1" x14ac:dyDescent="0.15">
      <c r="B30" s="34" t="s">
        <v>37</v>
      </c>
      <c r="C30" s="34">
        <v>477</v>
      </c>
      <c r="D30" s="34">
        <v>289</v>
      </c>
      <c r="E30" s="34">
        <v>20</v>
      </c>
      <c r="F30" s="34">
        <v>265</v>
      </c>
      <c r="G30" s="34">
        <v>372</v>
      </c>
      <c r="H30" s="34">
        <v>458</v>
      </c>
      <c r="I30" s="34">
        <v>570</v>
      </c>
      <c r="J30" s="34">
        <v>654</v>
      </c>
      <c r="K30" s="34">
        <v>791</v>
      </c>
      <c r="L30" s="34">
        <v>609</v>
      </c>
      <c r="M30" s="34" t="s">
        <v>190</v>
      </c>
    </row>
    <row r="31" spans="1:13" hidden="1" x14ac:dyDescent="0.15">
      <c r="B31" s="34" t="s">
        <v>38</v>
      </c>
      <c r="C31" s="34">
        <v>326</v>
      </c>
      <c r="D31" s="34">
        <v>336</v>
      </c>
      <c r="E31" s="34">
        <v>265</v>
      </c>
      <c r="F31" s="34">
        <v>20</v>
      </c>
      <c r="G31" s="34">
        <v>245</v>
      </c>
      <c r="H31" s="34">
        <v>318</v>
      </c>
      <c r="I31" s="34">
        <v>309</v>
      </c>
      <c r="J31" s="34">
        <v>394</v>
      </c>
      <c r="K31" s="34">
        <v>517</v>
      </c>
      <c r="L31" s="34">
        <v>349</v>
      </c>
      <c r="M31" s="34" t="s">
        <v>191</v>
      </c>
    </row>
    <row r="32" spans="1:13" hidden="1" x14ac:dyDescent="0.15">
      <c r="B32" s="34" t="s">
        <v>39</v>
      </c>
      <c r="C32" s="34">
        <v>547</v>
      </c>
      <c r="D32" s="34">
        <v>531</v>
      </c>
      <c r="E32" s="34">
        <v>372</v>
      </c>
      <c r="F32" s="34">
        <v>245</v>
      </c>
      <c r="G32" s="34">
        <v>20</v>
      </c>
      <c r="H32" s="34">
        <v>98</v>
      </c>
      <c r="I32" s="34">
        <v>308</v>
      </c>
      <c r="J32" s="34">
        <v>428</v>
      </c>
      <c r="K32" s="34">
        <v>635</v>
      </c>
      <c r="L32" s="34">
        <v>467</v>
      </c>
      <c r="M32" s="34" t="s">
        <v>192</v>
      </c>
    </row>
    <row r="33" spans="2:13" hidden="1" x14ac:dyDescent="0.15">
      <c r="B33" s="34" t="s">
        <v>40</v>
      </c>
      <c r="C33" s="34">
        <v>567</v>
      </c>
      <c r="D33" s="34">
        <v>599</v>
      </c>
      <c r="E33" s="34">
        <v>458</v>
      </c>
      <c r="F33" s="34">
        <v>318</v>
      </c>
      <c r="G33" s="34">
        <v>98</v>
      </c>
      <c r="H33" s="34">
        <v>20</v>
      </c>
      <c r="I33" s="34">
        <v>218</v>
      </c>
      <c r="J33" s="34">
        <v>349</v>
      </c>
      <c r="K33" s="34">
        <v>557</v>
      </c>
      <c r="L33" s="34">
        <v>389</v>
      </c>
      <c r="M33" s="34" t="s">
        <v>193</v>
      </c>
    </row>
    <row r="34" spans="2:13" hidden="1" x14ac:dyDescent="0.15">
      <c r="B34" s="34" t="s">
        <v>41</v>
      </c>
      <c r="C34" s="34">
        <v>537</v>
      </c>
      <c r="D34" s="34">
        <v>623</v>
      </c>
      <c r="E34" s="34">
        <v>570</v>
      </c>
      <c r="F34" s="34">
        <v>309</v>
      </c>
      <c r="G34" s="34">
        <v>308</v>
      </c>
      <c r="H34" s="34">
        <v>218</v>
      </c>
      <c r="I34" s="34">
        <v>20</v>
      </c>
      <c r="J34" s="34">
        <v>133</v>
      </c>
      <c r="K34" s="34">
        <v>369</v>
      </c>
      <c r="L34" s="34">
        <v>241</v>
      </c>
      <c r="M34" s="34" t="s">
        <v>194</v>
      </c>
    </row>
    <row r="35" spans="2:13" hidden="1" x14ac:dyDescent="0.15">
      <c r="B35" s="34" t="s">
        <v>42</v>
      </c>
      <c r="C35" s="34">
        <v>507</v>
      </c>
      <c r="D35" s="34">
        <v>632</v>
      </c>
      <c r="E35" s="34">
        <v>654</v>
      </c>
      <c r="F35" s="34">
        <v>394</v>
      </c>
      <c r="G35" s="34">
        <v>428</v>
      </c>
      <c r="H35" s="34">
        <v>349</v>
      </c>
      <c r="I35" s="34">
        <v>133</v>
      </c>
      <c r="J35" s="34">
        <v>20</v>
      </c>
      <c r="K35" s="34">
        <v>232</v>
      </c>
      <c r="L35" s="34">
        <v>211</v>
      </c>
      <c r="M35" s="34" t="s">
        <v>195</v>
      </c>
    </row>
    <row r="36" spans="2:13" hidden="1" x14ac:dyDescent="0.15">
      <c r="B36" s="34" t="s">
        <v>43</v>
      </c>
      <c r="C36" s="34">
        <v>460</v>
      </c>
      <c r="D36" s="34">
        <v>585</v>
      </c>
      <c r="E36" s="34">
        <v>791</v>
      </c>
      <c r="F36" s="34">
        <v>517</v>
      </c>
      <c r="G36" s="34">
        <v>635</v>
      </c>
      <c r="H36" s="34">
        <v>557</v>
      </c>
      <c r="I36" s="34">
        <v>369</v>
      </c>
      <c r="J36" s="34">
        <v>232</v>
      </c>
      <c r="K36" s="34">
        <v>20</v>
      </c>
      <c r="L36" s="34">
        <v>167</v>
      </c>
      <c r="M36" s="34" t="s">
        <v>196</v>
      </c>
    </row>
    <row r="37" spans="2:13" hidden="1" x14ac:dyDescent="0.15">
      <c r="B37" s="34" t="s">
        <v>44</v>
      </c>
      <c r="C37" s="34">
        <v>322</v>
      </c>
      <c r="D37" s="34">
        <v>447</v>
      </c>
      <c r="E37" s="34">
        <v>609</v>
      </c>
      <c r="F37" s="34">
        <v>349</v>
      </c>
      <c r="G37" s="34">
        <v>467</v>
      </c>
      <c r="H37" s="34">
        <v>389</v>
      </c>
      <c r="I37" s="34">
        <v>241</v>
      </c>
      <c r="J37" s="34">
        <v>211</v>
      </c>
      <c r="K37" s="34">
        <v>167</v>
      </c>
      <c r="L37" s="34">
        <v>20</v>
      </c>
      <c r="M37" s="34" t="s">
        <v>197</v>
      </c>
    </row>
    <row r="38" spans="2:13" hidden="1" x14ac:dyDescent="0.15">
      <c r="D38" s="34"/>
      <c r="E38" s="34"/>
      <c r="F38" s="34"/>
      <c r="G38" s="34"/>
    </row>
    <row r="39" spans="2:13" x14ac:dyDescent="0.15">
      <c r="B39" s="178" t="s">
        <v>280</v>
      </c>
      <c r="C39" s="178" t="s">
        <v>280</v>
      </c>
      <c r="D39" s="182" t="s">
        <v>199</v>
      </c>
      <c r="E39" s="178"/>
      <c r="F39" s="178"/>
      <c r="G39" s="178"/>
    </row>
    <row r="40" spans="2:13" x14ac:dyDescent="0.15">
      <c r="B40" s="2"/>
      <c r="C40" s="2"/>
      <c r="D40" s="255" t="s">
        <v>39</v>
      </c>
      <c r="E40" s="181" t="s">
        <v>200</v>
      </c>
      <c r="F40" s="181"/>
      <c r="G40" s="181"/>
    </row>
    <row r="41" spans="2:13" x14ac:dyDescent="0.15">
      <c r="D41" s="34"/>
      <c r="E41" s="34"/>
      <c r="F41" s="34"/>
      <c r="G41" s="34"/>
    </row>
    <row r="42" spans="2:13" s="154" customFormat="1" ht="39.75" customHeight="1" x14ac:dyDescent="0.2">
      <c r="B42" s="176" t="s">
        <v>34</v>
      </c>
      <c r="C42" s="180" t="s">
        <v>128</v>
      </c>
      <c r="D42" s="183" t="s">
        <v>249</v>
      </c>
      <c r="E42" s="177" t="s">
        <v>201</v>
      </c>
      <c r="F42" s="177" t="s">
        <v>203</v>
      </c>
      <c r="G42" s="179" t="s">
        <v>246</v>
      </c>
    </row>
    <row r="43" spans="2:13" ht="12.75" customHeight="1" x14ac:dyDescent="0.2">
      <c r="B43" s="22" t="s">
        <v>35</v>
      </c>
      <c r="C43" s="2"/>
      <c r="D43" s="243"/>
      <c r="E43" s="172" t="str">
        <f>IFERROR(pat_inl_fahrten[[#This Row],[Anzahl der Besuche (ambulant &amp; stationär durch Patient:innen)]]/pat_inl_fahrten[[#Totals],[Anzahl der Besuche (ambulant &amp; stationär durch Patient:innen)]],"k.A.")</f>
        <v>k.A.</v>
      </c>
      <c r="F43" s="173">
        <f ca="1">INDEX(OFFSET(Tabelle27[PLZ-Bereich],0,MATCH(pat_inl_fahrten[[#This Row],[Postleitzahlbereich]],Tabelle27[PLZ-Bereich],0)),MATCH(D40,C27:L27,0))</f>
        <v>547</v>
      </c>
      <c r="G43" s="142">
        <f ca="1">pat_inl_fahrten[[#This Row],[Anzahl der Besuche (ambulant &amp; stationär durch Patient:innen)]]*pat_inl_fahrten[[#This Row],[Angenommene Entfernung 
One-way '[km']]]*2</f>
        <v>0</v>
      </c>
      <c r="I43"/>
      <c r="J43"/>
      <c r="K43"/>
      <c r="L43"/>
    </row>
    <row r="44" spans="2:13" ht="12.75" customHeight="1" x14ac:dyDescent="0.2">
      <c r="B44" s="22" t="s">
        <v>36</v>
      </c>
      <c r="C44" s="2"/>
      <c r="D44" s="243"/>
      <c r="E44" s="172" t="str">
        <f>IFERROR(pat_inl_fahrten[[#This Row],[Anzahl der Besuche (ambulant &amp; stationär durch Patient:innen)]]/pat_inl_fahrten[[#Totals],[Anzahl der Besuche (ambulant &amp; stationär durch Patient:innen)]],"k.A.")</f>
        <v>k.A.</v>
      </c>
      <c r="F44" s="173">
        <f ca="1">INDEX(OFFSET(Tabelle27[PLZ-Bereich],0,MATCH(pat_inl_fahrten[[#This Row],[Postleitzahlbereich]],Tabelle27[PLZ-Bereich],0)),MATCH(D40,C27:L27,0))</f>
        <v>531</v>
      </c>
      <c r="G44" s="142">
        <f ca="1">pat_inl_fahrten[[#This Row],[Anzahl der Besuche (ambulant &amp; stationär durch Patient:innen)]]*pat_inl_fahrten[[#This Row],[Angenommene Entfernung 
One-way '[km']]]*2</f>
        <v>0</v>
      </c>
      <c r="I44"/>
      <c r="J44"/>
      <c r="K44"/>
      <c r="L44"/>
    </row>
    <row r="45" spans="2:13" ht="12.75" customHeight="1" x14ac:dyDescent="0.2">
      <c r="B45" s="22" t="s">
        <v>37</v>
      </c>
      <c r="C45" s="2"/>
      <c r="D45" s="243"/>
      <c r="E45" s="172" t="str">
        <f>IFERROR(pat_inl_fahrten[[#This Row],[Anzahl der Besuche (ambulant &amp; stationär durch Patient:innen)]]/pat_inl_fahrten[[#Totals],[Anzahl der Besuche (ambulant &amp; stationär durch Patient:innen)]],"k.A.")</f>
        <v>k.A.</v>
      </c>
      <c r="F45" s="173">
        <f ca="1">INDEX(OFFSET(Tabelle27[PLZ-Bereich],0,MATCH(pat_inl_fahrten[[#This Row],[Postleitzahlbereich]],Tabelle27[PLZ-Bereich],0)),MATCH(D40,C27:L27,0))</f>
        <v>372</v>
      </c>
      <c r="G45" s="142">
        <f ca="1">pat_inl_fahrten[[#This Row],[Anzahl der Besuche (ambulant &amp; stationär durch Patient:innen)]]*pat_inl_fahrten[[#This Row],[Angenommene Entfernung 
One-way '[km']]]*2</f>
        <v>0</v>
      </c>
      <c r="I45"/>
      <c r="J45"/>
      <c r="K45"/>
      <c r="L45"/>
    </row>
    <row r="46" spans="2:13" ht="12.75" customHeight="1" x14ac:dyDescent="0.2">
      <c r="B46" s="22" t="s">
        <v>38</v>
      </c>
      <c r="C46" s="2"/>
      <c r="D46" s="243"/>
      <c r="E46" s="172" t="str">
        <f>IFERROR(pat_inl_fahrten[[#This Row],[Anzahl der Besuche (ambulant &amp; stationär durch Patient:innen)]]/pat_inl_fahrten[[#Totals],[Anzahl der Besuche (ambulant &amp; stationär durch Patient:innen)]],"k.A.")</f>
        <v>k.A.</v>
      </c>
      <c r="F46" s="173">
        <f ca="1">INDEX(OFFSET(Tabelle27[PLZ-Bereich],0,MATCH(pat_inl_fahrten[[#This Row],[Postleitzahlbereich]],Tabelle27[PLZ-Bereich],0)),MATCH(D40,C27:L27,0))</f>
        <v>245</v>
      </c>
      <c r="G46" s="142">
        <f ca="1">pat_inl_fahrten[[#This Row],[Anzahl der Besuche (ambulant &amp; stationär durch Patient:innen)]]*pat_inl_fahrten[[#This Row],[Angenommene Entfernung 
One-way '[km']]]*2</f>
        <v>0</v>
      </c>
      <c r="I46"/>
      <c r="J46"/>
      <c r="K46"/>
      <c r="L46"/>
    </row>
    <row r="47" spans="2:13" ht="12.75" customHeight="1" x14ac:dyDescent="0.2">
      <c r="B47" s="22" t="s">
        <v>39</v>
      </c>
      <c r="C47" s="2"/>
      <c r="D47" s="243"/>
      <c r="E47" s="172" t="str">
        <f>IFERROR(pat_inl_fahrten[[#This Row],[Anzahl der Besuche (ambulant &amp; stationär durch Patient:innen)]]/pat_inl_fahrten[[#Totals],[Anzahl der Besuche (ambulant &amp; stationär durch Patient:innen)]],"k.A.")</f>
        <v>k.A.</v>
      </c>
      <c r="F47" s="173">
        <f ca="1">INDEX(OFFSET(Tabelle27[PLZ-Bereich],0,MATCH(pat_inl_fahrten[[#This Row],[Postleitzahlbereich]],Tabelle27[PLZ-Bereich],0)),MATCH(D40,C27:L27,0))</f>
        <v>20</v>
      </c>
      <c r="G47" s="142">
        <f ca="1">pat_inl_fahrten[[#This Row],[Anzahl der Besuche (ambulant &amp; stationär durch Patient:innen)]]*pat_inl_fahrten[[#This Row],[Angenommene Entfernung 
One-way '[km']]]*2</f>
        <v>0</v>
      </c>
      <c r="I47"/>
      <c r="J47"/>
      <c r="K47"/>
      <c r="L47"/>
    </row>
    <row r="48" spans="2:13" ht="12.75" customHeight="1" x14ac:dyDescent="0.2">
      <c r="B48" s="22" t="s">
        <v>40</v>
      </c>
      <c r="C48" s="2"/>
      <c r="D48" s="243"/>
      <c r="E48" s="172" t="str">
        <f>IFERROR(pat_inl_fahrten[[#This Row],[Anzahl der Besuche (ambulant &amp; stationär durch Patient:innen)]]/pat_inl_fahrten[[#Totals],[Anzahl der Besuche (ambulant &amp; stationär durch Patient:innen)]],"k.A.")</f>
        <v>k.A.</v>
      </c>
      <c r="F48" s="173">
        <f ca="1">INDEX(OFFSET(Tabelle27[PLZ-Bereich],0,MATCH(pat_inl_fahrten[[#This Row],[Postleitzahlbereich]],Tabelle27[PLZ-Bereich],0)),MATCH(D40,C27:L27,0))</f>
        <v>98</v>
      </c>
      <c r="G48" s="142">
        <f ca="1">pat_inl_fahrten[[#This Row],[Anzahl der Besuche (ambulant &amp; stationär durch Patient:innen)]]*pat_inl_fahrten[[#This Row],[Angenommene Entfernung 
One-way '[km']]]*2</f>
        <v>0</v>
      </c>
      <c r="I48"/>
      <c r="J48"/>
      <c r="K48"/>
      <c r="L48"/>
    </row>
    <row r="49" spans="1:13" ht="12.75" customHeight="1" x14ac:dyDescent="0.2">
      <c r="B49" s="22" t="s">
        <v>41</v>
      </c>
      <c r="C49" s="2"/>
      <c r="D49" s="243"/>
      <c r="E49" s="172" t="str">
        <f>IFERROR(pat_inl_fahrten[[#This Row],[Anzahl der Besuche (ambulant &amp; stationär durch Patient:innen)]]/pat_inl_fahrten[[#Totals],[Anzahl der Besuche (ambulant &amp; stationär durch Patient:innen)]],"k.A.")</f>
        <v>k.A.</v>
      </c>
      <c r="F49" s="173">
        <f ca="1">INDEX(OFFSET(Tabelle27[PLZ-Bereich],0,MATCH(pat_inl_fahrten[[#This Row],[Postleitzahlbereich]],Tabelle27[PLZ-Bereich],0)),MATCH(D40,C27:L27,0))</f>
        <v>308</v>
      </c>
      <c r="G49" s="142">
        <f ca="1">pat_inl_fahrten[[#This Row],[Anzahl der Besuche (ambulant &amp; stationär durch Patient:innen)]]*pat_inl_fahrten[[#This Row],[Angenommene Entfernung 
One-way '[km']]]*2</f>
        <v>0</v>
      </c>
      <c r="I49"/>
      <c r="J49"/>
      <c r="K49"/>
      <c r="L49"/>
    </row>
    <row r="50" spans="1:13" ht="12.75" customHeight="1" x14ac:dyDescent="0.15">
      <c r="B50" s="22" t="s">
        <v>42</v>
      </c>
      <c r="C50" s="2"/>
      <c r="D50" s="243"/>
      <c r="E50" s="172" t="str">
        <f>IFERROR(pat_inl_fahrten[[#This Row],[Anzahl der Besuche (ambulant &amp; stationär durch Patient:innen)]]/pat_inl_fahrten[[#Totals],[Anzahl der Besuche (ambulant &amp; stationär durch Patient:innen)]],"k.A.")</f>
        <v>k.A.</v>
      </c>
      <c r="F50" s="173">
        <f ca="1">INDEX(OFFSET(Tabelle27[PLZ-Bereich],0,MATCH(pat_inl_fahrten[[#This Row],[Postleitzahlbereich]],Tabelle27[PLZ-Bereich],0)),MATCH(D40,C27:L27,0))</f>
        <v>428</v>
      </c>
      <c r="G50" s="142">
        <f ca="1">pat_inl_fahrten[[#This Row],[Anzahl der Besuche (ambulant &amp; stationär durch Patient:innen)]]*pat_inl_fahrten[[#This Row],[Angenommene Entfernung 
One-way '[km']]]*2</f>
        <v>0</v>
      </c>
    </row>
    <row r="51" spans="1:13" ht="12.75" customHeight="1" x14ac:dyDescent="0.15">
      <c r="B51" s="22" t="s">
        <v>43</v>
      </c>
      <c r="C51" s="2"/>
      <c r="D51" s="243"/>
      <c r="E51" s="172" t="str">
        <f>IFERROR(pat_inl_fahrten[[#This Row],[Anzahl der Besuche (ambulant &amp; stationär durch Patient:innen)]]/pat_inl_fahrten[[#Totals],[Anzahl der Besuche (ambulant &amp; stationär durch Patient:innen)]],"k.A.")</f>
        <v>k.A.</v>
      </c>
      <c r="F51" s="173">
        <f ca="1">INDEX(OFFSET(Tabelle27[PLZ-Bereich],0,MATCH(pat_inl_fahrten[[#This Row],[Postleitzahlbereich]],Tabelle27[PLZ-Bereich],0)),MATCH(D40,C27:L27,0))</f>
        <v>635</v>
      </c>
      <c r="G51" s="142">
        <f ca="1">pat_inl_fahrten[[#This Row],[Anzahl der Besuche (ambulant &amp; stationär durch Patient:innen)]]*pat_inl_fahrten[[#This Row],[Angenommene Entfernung 
One-way '[km']]]*2</f>
        <v>0</v>
      </c>
    </row>
    <row r="52" spans="1:13" ht="12.75" customHeight="1" x14ac:dyDescent="0.15">
      <c r="B52" s="22" t="s">
        <v>44</v>
      </c>
      <c r="C52" s="2"/>
      <c r="D52" s="243"/>
      <c r="E52" s="172" t="str">
        <f>IFERROR(pat_inl_fahrten[[#This Row],[Anzahl der Besuche (ambulant &amp; stationär durch Patient:innen)]]/pat_inl_fahrten[[#Totals],[Anzahl der Besuche (ambulant &amp; stationär durch Patient:innen)]],"k.A.")</f>
        <v>k.A.</v>
      </c>
      <c r="F52" s="173">
        <f ca="1">INDEX(OFFSET(Tabelle27[PLZ-Bereich],0,MATCH(pat_inl_fahrten[[#This Row],[Postleitzahlbereich]],Tabelle27[PLZ-Bereich],0)),MATCH(D40,C27:L27,0))</f>
        <v>467</v>
      </c>
      <c r="G52" s="142">
        <f ca="1">pat_inl_fahrten[[#This Row],[Anzahl der Besuche (ambulant &amp; stationär durch Patient:innen)]]*pat_inl_fahrten[[#This Row],[Angenommene Entfernung 
One-way '[km']]]*2</f>
        <v>0</v>
      </c>
    </row>
    <row r="53" spans="1:13" ht="12.75" customHeight="1" x14ac:dyDescent="0.15">
      <c r="B53" s="140" t="s">
        <v>0</v>
      </c>
      <c r="C53" s="2"/>
      <c r="D53" s="174">
        <f>SUBTOTAL(109,pat_inl_fahrten[Anzahl der Besuche (ambulant &amp; stationär durch Patient:innen)])</f>
        <v>0</v>
      </c>
      <c r="E53" s="175">
        <f>SUBTOTAL(109,pat_inl_fahrten[Anteil '[%']])</f>
        <v>0</v>
      </c>
      <c r="F53" s="140"/>
      <c r="G53" s="143">
        <f ca="1">SUBTOTAL(109,pat_inl_fahrten[Gesamtdistanzen Regelkontakte '[Pkm']])</f>
        <v>0</v>
      </c>
    </row>
    <row r="54" spans="1:13" x14ac:dyDescent="0.15">
      <c r="D54" s="34"/>
      <c r="E54" s="34"/>
      <c r="F54" s="34"/>
      <c r="G54" s="34"/>
    </row>
    <row r="55" spans="1:13" x14ac:dyDescent="0.15">
      <c r="B55" s="182" t="s">
        <v>281</v>
      </c>
      <c r="C55" s="178"/>
      <c r="D55" s="178"/>
      <c r="E55" s="178"/>
      <c r="F55" s="178"/>
      <c r="G55" s="178"/>
      <c r="H55" s="178"/>
      <c r="I55" s="178"/>
      <c r="J55" s="178"/>
    </row>
    <row r="56" spans="1:13" ht="30" x14ac:dyDescent="0.15">
      <c r="B56" s="176" t="s">
        <v>27</v>
      </c>
      <c r="C56" s="180" t="s">
        <v>128</v>
      </c>
      <c r="D56" s="177" t="s">
        <v>202</v>
      </c>
      <c r="E56" s="177" t="s">
        <v>229</v>
      </c>
      <c r="F56" s="180" t="s">
        <v>166</v>
      </c>
      <c r="G56" s="180" t="s">
        <v>167</v>
      </c>
      <c r="H56" s="195" t="s">
        <v>224</v>
      </c>
      <c r="I56" s="177" t="s">
        <v>141</v>
      </c>
      <c r="J56" s="177" t="s">
        <v>28</v>
      </c>
    </row>
    <row r="57" spans="1:13" x14ac:dyDescent="0.15">
      <c r="B57" s="22" t="s">
        <v>26</v>
      </c>
      <c r="C57" s="2"/>
      <c r="D57" s="185">
        <f ca="1">pat_inl_fahrten[[#Totals],[Gesamtdistanzen Regelkontakte '[Pkm']]]</f>
        <v>0</v>
      </c>
      <c r="E57" s="184">
        <v>0.16400000000000001</v>
      </c>
      <c r="F57" s="2"/>
      <c r="G57" s="2"/>
      <c r="H57" s="186">
        <f ca="1">D57*E57</f>
        <v>0</v>
      </c>
      <c r="I57" s="147" t="s">
        <v>183</v>
      </c>
      <c r="J57" s="147" t="s">
        <v>295</v>
      </c>
    </row>
    <row r="58" spans="1:13" x14ac:dyDescent="0.15">
      <c r="B58" s="150" t="s">
        <v>131</v>
      </c>
      <c r="C58" s="196"/>
      <c r="D58" s="197"/>
      <c r="E58" s="197"/>
      <c r="F58" s="196"/>
      <c r="G58" s="196"/>
      <c r="H58" s="199">
        <f ca="1">SUBTOTAL(109,pat_inl_ergeb[Ergebnis 
'[kg CO2e / Jahr']])</f>
        <v>0</v>
      </c>
      <c r="I58" s="198"/>
      <c r="J58" s="198"/>
    </row>
    <row r="59" spans="1:13" x14ac:dyDescent="0.15">
      <c r="D59" s="34"/>
      <c r="E59" s="34"/>
      <c r="F59" s="34"/>
      <c r="G59" s="34"/>
    </row>
    <row r="60" spans="1:13" ht="5" customHeight="1" x14ac:dyDescent="0.15">
      <c r="D60" s="34"/>
      <c r="E60" s="34"/>
      <c r="F60" s="34"/>
      <c r="G60" s="34"/>
    </row>
    <row r="61" spans="1:13" x14ac:dyDescent="0.15">
      <c r="A61" s="42" t="s">
        <v>270</v>
      </c>
      <c r="B61" s="43"/>
      <c r="C61" s="43"/>
      <c r="D61" s="44"/>
      <c r="E61" s="44"/>
      <c r="F61" s="44"/>
      <c r="G61" s="44"/>
      <c r="H61" s="44"/>
      <c r="I61" s="44"/>
      <c r="J61" s="44"/>
      <c r="K61" s="44"/>
      <c r="L61" s="43"/>
      <c r="M61" s="45"/>
    </row>
    <row r="62" spans="1:13" x14ac:dyDescent="0.15">
      <c r="D62" s="34"/>
      <c r="E62" s="34"/>
      <c r="F62" s="34"/>
      <c r="G62" s="34"/>
    </row>
    <row r="63" spans="1:13" ht="28" x14ac:dyDescent="0.15">
      <c r="B63" s="18" t="s">
        <v>206</v>
      </c>
      <c r="C63" s="18" t="s">
        <v>151</v>
      </c>
      <c r="D63" s="19" t="s">
        <v>249</v>
      </c>
      <c r="E63" s="19" t="s">
        <v>207</v>
      </c>
    </row>
    <row r="64" spans="1:13" x14ac:dyDescent="0.15">
      <c r="B64" s="22" t="s">
        <v>50</v>
      </c>
      <c r="C64" s="22" t="s">
        <v>30</v>
      </c>
      <c r="D64" s="23"/>
      <c r="E64" s="24"/>
    </row>
    <row r="65" spans="2:7" x14ac:dyDescent="0.15">
      <c r="B65" s="22" t="s">
        <v>51</v>
      </c>
      <c r="C65" s="22" t="s">
        <v>31</v>
      </c>
      <c r="D65" s="23"/>
      <c r="E65" s="24"/>
    </row>
    <row r="66" spans="2:7" x14ac:dyDescent="0.15">
      <c r="B66" s="22" t="s">
        <v>52</v>
      </c>
      <c r="C66" s="22" t="s">
        <v>33</v>
      </c>
      <c r="D66" s="23"/>
      <c r="E66" s="24"/>
    </row>
    <row r="67" spans="2:7" x14ac:dyDescent="0.15">
      <c r="B67" s="22" t="s">
        <v>53</v>
      </c>
      <c r="C67" s="22" t="s">
        <v>31</v>
      </c>
      <c r="D67" s="23"/>
      <c r="E67" s="24"/>
    </row>
    <row r="68" spans="2:7" x14ac:dyDescent="0.15">
      <c r="B68" s="22" t="s">
        <v>54</v>
      </c>
      <c r="C68" s="22" t="s">
        <v>32</v>
      </c>
      <c r="D68" s="23"/>
      <c r="E68" s="24"/>
    </row>
    <row r="69" spans="2:7" x14ac:dyDescent="0.15">
      <c r="B69" s="22" t="s">
        <v>55</v>
      </c>
      <c r="C69" s="22" t="s">
        <v>30</v>
      </c>
      <c r="D69" s="23"/>
      <c r="E69" s="24"/>
    </row>
    <row r="70" spans="2:7" x14ac:dyDescent="0.15">
      <c r="B70" s="22" t="s">
        <v>56</v>
      </c>
      <c r="C70" s="22" t="s">
        <v>31</v>
      </c>
      <c r="D70" s="23"/>
      <c r="E70" s="24"/>
    </row>
    <row r="71" spans="2:7" x14ac:dyDescent="0.15">
      <c r="B71" s="22" t="s">
        <v>58</v>
      </c>
      <c r="C71" s="22" t="s">
        <v>32</v>
      </c>
      <c r="D71" s="23"/>
      <c r="E71" s="24"/>
      <c r="F71" s="34"/>
      <c r="G71" s="34"/>
    </row>
    <row r="72" spans="2:7" x14ac:dyDescent="0.15">
      <c r="B72" s="22" t="s">
        <v>60</v>
      </c>
      <c r="C72" s="22" t="s">
        <v>32</v>
      </c>
      <c r="D72" s="23"/>
      <c r="E72" s="24"/>
      <c r="F72" s="34"/>
      <c r="G72" s="34"/>
    </row>
    <row r="73" spans="2:7" x14ac:dyDescent="0.15">
      <c r="B73" s="22" t="s">
        <v>61</v>
      </c>
      <c r="C73" s="22" t="s">
        <v>32</v>
      </c>
      <c r="D73" s="23"/>
      <c r="E73" s="24"/>
      <c r="F73" s="34"/>
      <c r="G73" s="34"/>
    </row>
    <row r="74" spans="2:7" x14ac:dyDescent="0.15">
      <c r="B74" s="22" t="s">
        <v>62</v>
      </c>
      <c r="C74" s="22" t="s">
        <v>32</v>
      </c>
      <c r="D74" s="23"/>
      <c r="E74" s="24"/>
      <c r="F74" s="34"/>
      <c r="G74" s="34"/>
    </row>
    <row r="75" spans="2:7" x14ac:dyDescent="0.15">
      <c r="B75" s="22" t="s">
        <v>63</v>
      </c>
      <c r="C75" s="22" t="s">
        <v>31</v>
      </c>
      <c r="D75" s="23"/>
      <c r="E75" s="24"/>
      <c r="F75" s="34"/>
      <c r="G75" s="34"/>
    </row>
    <row r="76" spans="2:7" x14ac:dyDescent="0.15">
      <c r="B76" s="22" t="s">
        <v>64</v>
      </c>
      <c r="C76" s="22" t="s">
        <v>32</v>
      </c>
      <c r="D76" s="23"/>
      <c r="E76" s="24"/>
      <c r="F76" s="34"/>
      <c r="G76" s="34"/>
    </row>
    <row r="77" spans="2:7" x14ac:dyDescent="0.15">
      <c r="B77" s="22" t="s">
        <v>65</v>
      </c>
      <c r="C77" s="22" t="s">
        <v>31</v>
      </c>
      <c r="D77" s="23"/>
      <c r="E77" s="24"/>
      <c r="F77" s="34"/>
      <c r="G77" s="34"/>
    </row>
    <row r="78" spans="2:7" x14ac:dyDescent="0.15">
      <c r="B78" s="22" t="s">
        <v>66</v>
      </c>
      <c r="C78" s="22" t="s">
        <v>32</v>
      </c>
      <c r="D78" s="23"/>
      <c r="E78" s="24"/>
      <c r="F78" s="34"/>
      <c r="G78" s="34"/>
    </row>
    <row r="79" spans="2:7" x14ac:dyDescent="0.15">
      <c r="B79" s="22" t="s">
        <v>67</v>
      </c>
      <c r="C79" s="22" t="s">
        <v>31</v>
      </c>
      <c r="D79" s="23"/>
      <c r="E79" s="24"/>
      <c r="F79" s="34"/>
      <c r="G79" s="34"/>
    </row>
    <row r="80" spans="2:7" x14ac:dyDescent="0.15">
      <c r="B80" s="22" t="s">
        <v>68</v>
      </c>
      <c r="C80" s="22" t="s">
        <v>30</v>
      </c>
      <c r="D80" s="23"/>
      <c r="E80" s="24"/>
      <c r="F80" s="34"/>
      <c r="G80" s="34"/>
    </row>
    <row r="81" spans="2:7" x14ac:dyDescent="0.15">
      <c r="B81" s="22" t="s">
        <v>69</v>
      </c>
      <c r="C81" s="22" t="s">
        <v>31</v>
      </c>
      <c r="D81" s="23"/>
      <c r="E81" s="24"/>
      <c r="F81" s="34"/>
      <c r="G81" s="34"/>
    </row>
    <row r="82" spans="2:7" x14ac:dyDescent="0.15">
      <c r="B82" s="22" t="s">
        <v>70</v>
      </c>
      <c r="C82" s="22" t="s">
        <v>30</v>
      </c>
      <c r="D82" s="23"/>
      <c r="E82" s="24"/>
      <c r="F82" s="34"/>
      <c r="G82" s="34"/>
    </row>
    <row r="83" spans="2:7" x14ac:dyDescent="0.15">
      <c r="B83" s="22" t="s">
        <v>150</v>
      </c>
      <c r="C83" s="22" t="s">
        <v>32</v>
      </c>
      <c r="D83" s="23"/>
      <c r="E83" s="24"/>
      <c r="F83" s="34"/>
      <c r="G83" s="34"/>
    </row>
    <row r="84" spans="2:7" x14ac:dyDescent="0.15">
      <c r="B84" s="22" t="s">
        <v>71</v>
      </c>
      <c r="C84" s="22" t="s">
        <v>32</v>
      </c>
      <c r="D84" s="23"/>
      <c r="E84" s="24"/>
      <c r="F84" s="34"/>
      <c r="G84" s="34"/>
    </row>
    <row r="85" spans="2:7" x14ac:dyDescent="0.15">
      <c r="B85" s="22" t="s">
        <v>73</v>
      </c>
      <c r="C85" s="22" t="s">
        <v>29</v>
      </c>
      <c r="D85" s="23"/>
      <c r="E85" s="24"/>
      <c r="F85" s="34"/>
      <c r="G85" s="34"/>
    </row>
    <row r="86" spans="2:7" x14ac:dyDescent="0.15">
      <c r="B86" s="22" t="s">
        <v>74</v>
      </c>
      <c r="C86" s="22" t="s">
        <v>31</v>
      </c>
      <c r="D86" s="23"/>
      <c r="E86" s="24"/>
      <c r="F86" s="34"/>
      <c r="G86" s="34"/>
    </row>
    <row r="87" spans="2:7" x14ac:dyDescent="0.15">
      <c r="B87" s="22" t="s">
        <v>143</v>
      </c>
      <c r="C87" s="22" t="s">
        <v>32</v>
      </c>
      <c r="D87" s="23"/>
      <c r="E87" s="24"/>
      <c r="F87" s="34"/>
      <c r="G87" s="34"/>
    </row>
    <row r="88" spans="2:7" x14ac:dyDescent="0.15">
      <c r="B88" s="22" t="s">
        <v>75</v>
      </c>
      <c r="C88" s="22" t="s">
        <v>31</v>
      </c>
      <c r="D88" s="23"/>
      <c r="E88" s="24"/>
      <c r="F88" s="34"/>
      <c r="G88" s="34"/>
    </row>
    <row r="89" spans="2:7" x14ac:dyDescent="0.15">
      <c r="B89" s="22" t="s">
        <v>77</v>
      </c>
      <c r="C89" s="22" t="s">
        <v>33</v>
      </c>
      <c r="D89" s="23"/>
      <c r="E89" s="24"/>
      <c r="F89" s="34"/>
      <c r="G89" s="34"/>
    </row>
    <row r="90" spans="2:7" x14ac:dyDescent="0.15">
      <c r="B90" s="22" t="s">
        <v>78</v>
      </c>
      <c r="C90" s="22" t="s">
        <v>32</v>
      </c>
      <c r="D90" s="23"/>
      <c r="E90" s="24"/>
      <c r="F90" s="34"/>
      <c r="G90" s="34"/>
    </row>
    <row r="91" spans="2:7" x14ac:dyDescent="0.15">
      <c r="B91" s="22" t="s">
        <v>79</v>
      </c>
      <c r="C91" s="22" t="s">
        <v>32</v>
      </c>
      <c r="D91" s="23"/>
      <c r="E91" s="24"/>
      <c r="F91" s="34"/>
      <c r="G91" s="34"/>
    </row>
    <row r="92" spans="2:7" x14ac:dyDescent="0.15">
      <c r="B92" s="22" t="s">
        <v>80</v>
      </c>
      <c r="C92" s="22" t="s">
        <v>32</v>
      </c>
      <c r="D92" s="23"/>
      <c r="E92" s="24"/>
      <c r="F92" s="34"/>
      <c r="G92" s="34"/>
    </row>
    <row r="93" spans="2:7" x14ac:dyDescent="0.15">
      <c r="B93" s="22" t="s">
        <v>81</v>
      </c>
      <c r="C93" s="22" t="s">
        <v>30</v>
      </c>
      <c r="D93" s="23"/>
      <c r="E93" s="24"/>
      <c r="F93" s="34"/>
      <c r="G93" s="34"/>
    </row>
    <row r="94" spans="2:7" x14ac:dyDescent="0.15">
      <c r="B94" s="22" t="s">
        <v>82</v>
      </c>
      <c r="C94" s="22" t="s">
        <v>32</v>
      </c>
      <c r="D94" s="23"/>
      <c r="E94" s="24"/>
      <c r="F94" s="34"/>
      <c r="G94" s="34"/>
    </row>
    <row r="95" spans="2:7" x14ac:dyDescent="0.15">
      <c r="B95" s="22" t="s">
        <v>83</v>
      </c>
      <c r="C95" s="22" t="s">
        <v>32</v>
      </c>
      <c r="D95" s="23"/>
      <c r="E95" s="24"/>
      <c r="F95" s="34"/>
      <c r="G95" s="34"/>
    </row>
    <row r="96" spans="2:7" x14ac:dyDescent="0.15">
      <c r="B96" s="22" t="s">
        <v>84</v>
      </c>
      <c r="C96" s="22" t="s">
        <v>31</v>
      </c>
      <c r="D96" s="23"/>
      <c r="E96" s="24"/>
      <c r="F96" s="34"/>
      <c r="G96" s="34"/>
    </row>
    <row r="97" spans="2:7" x14ac:dyDescent="0.15">
      <c r="B97" s="22" t="s">
        <v>85</v>
      </c>
      <c r="C97" s="22" t="s">
        <v>32</v>
      </c>
      <c r="D97" s="23"/>
      <c r="E97" s="24"/>
      <c r="F97" s="34"/>
      <c r="G97" s="34"/>
    </row>
    <row r="98" spans="2:7" x14ac:dyDescent="0.15">
      <c r="B98" s="22" t="s">
        <v>86</v>
      </c>
      <c r="C98" s="22" t="s">
        <v>31</v>
      </c>
      <c r="D98" s="23"/>
      <c r="E98" s="24"/>
      <c r="F98" s="34"/>
      <c r="G98" s="34"/>
    </row>
    <row r="99" spans="2:7" x14ac:dyDescent="0.15">
      <c r="B99" s="22" t="s">
        <v>87</v>
      </c>
      <c r="C99" s="22" t="s">
        <v>32</v>
      </c>
      <c r="D99" s="23"/>
      <c r="E99" s="24"/>
      <c r="F99" s="34"/>
      <c r="G99" s="34"/>
    </row>
    <row r="100" spans="2:7" x14ac:dyDescent="0.15">
      <c r="B100" s="22" t="s">
        <v>88</v>
      </c>
      <c r="C100" s="22" t="s">
        <v>32</v>
      </c>
      <c r="D100" s="23"/>
      <c r="E100" s="24"/>
      <c r="F100" s="34"/>
      <c r="G100" s="34"/>
    </row>
    <row r="101" spans="2:7" x14ac:dyDescent="0.15">
      <c r="B101" s="22" t="s">
        <v>89</v>
      </c>
      <c r="C101" s="22" t="s">
        <v>32</v>
      </c>
      <c r="D101" s="23"/>
      <c r="E101" s="24"/>
      <c r="F101" s="34"/>
      <c r="G101" s="34"/>
    </row>
    <row r="102" spans="2:7" x14ac:dyDescent="0.15">
      <c r="B102" s="22" t="s">
        <v>90</v>
      </c>
      <c r="C102" s="22" t="s">
        <v>31</v>
      </c>
      <c r="D102" s="23"/>
      <c r="E102" s="24"/>
      <c r="F102" s="34"/>
      <c r="G102" s="34"/>
    </row>
    <row r="103" spans="2:7" x14ac:dyDescent="0.15">
      <c r="B103" s="22" t="s">
        <v>92</v>
      </c>
      <c r="C103" s="22" t="s">
        <v>32</v>
      </c>
      <c r="D103" s="23"/>
      <c r="E103" s="24"/>
      <c r="F103" s="34"/>
      <c r="G103" s="34"/>
    </row>
    <row r="104" spans="2:7" x14ac:dyDescent="0.15">
      <c r="B104" s="22" t="s">
        <v>93</v>
      </c>
      <c r="C104" s="22" t="s">
        <v>32</v>
      </c>
      <c r="D104" s="23"/>
      <c r="E104" s="24"/>
      <c r="F104" s="34"/>
      <c r="G104" s="34"/>
    </row>
    <row r="105" spans="2:7" x14ac:dyDescent="0.15">
      <c r="B105" s="22" t="s">
        <v>94</v>
      </c>
      <c r="C105" s="22" t="s">
        <v>29</v>
      </c>
      <c r="D105" s="23"/>
      <c r="E105" s="24"/>
      <c r="F105" s="34"/>
      <c r="G105" s="34"/>
    </row>
    <row r="106" spans="2:7" x14ac:dyDescent="0.15">
      <c r="B106" s="22" t="s">
        <v>95</v>
      </c>
      <c r="C106" s="22" t="s">
        <v>31</v>
      </c>
      <c r="D106" s="23"/>
      <c r="E106" s="24"/>
      <c r="F106" s="34"/>
      <c r="G106" s="34"/>
    </row>
    <row r="107" spans="2:7" x14ac:dyDescent="0.15">
      <c r="B107" s="22" t="s">
        <v>96</v>
      </c>
      <c r="C107" s="22" t="s">
        <v>31</v>
      </c>
      <c r="D107" s="23"/>
      <c r="E107" s="24"/>
      <c r="F107" s="34"/>
      <c r="G107" s="34"/>
    </row>
    <row r="108" spans="2:7" x14ac:dyDescent="0.15">
      <c r="B108" s="22" t="s">
        <v>97</v>
      </c>
      <c r="C108" s="22" t="s">
        <v>32</v>
      </c>
      <c r="D108" s="23"/>
      <c r="E108" s="24"/>
      <c r="F108" s="34"/>
      <c r="G108" s="34"/>
    </row>
    <row r="109" spans="2:7" x14ac:dyDescent="0.15">
      <c r="B109" s="22" t="s">
        <v>98</v>
      </c>
      <c r="C109" s="22" t="s">
        <v>32</v>
      </c>
      <c r="D109" s="23"/>
      <c r="E109" s="24"/>
      <c r="F109" s="34"/>
      <c r="G109" s="34"/>
    </row>
    <row r="110" spans="2:7" x14ac:dyDescent="0.15">
      <c r="B110" s="22" t="s">
        <v>99</v>
      </c>
      <c r="C110" s="22" t="s">
        <v>32</v>
      </c>
      <c r="D110" s="23"/>
      <c r="E110" s="24"/>
    </row>
    <row r="111" spans="2:7" x14ac:dyDescent="0.15">
      <c r="B111" s="22" t="s">
        <v>100</v>
      </c>
      <c r="C111" s="22" t="s">
        <v>31</v>
      </c>
      <c r="D111" s="23"/>
      <c r="E111" s="24"/>
    </row>
    <row r="112" spans="2:7" x14ac:dyDescent="0.15">
      <c r="B112" s="22" t="s">
        <v>144</v>
      </c>
      <c r="C112" s="22" t="s">
        <v>30</v>
      </c>
      <c r="D112" s="23"/>
      <c r="E112" s="24"/>
    </row>
    <row r="113" spans="2:10" x14ac:dyDescent="0.15">
      <c r="B113" s="192" t="s">
        <v>164</v>
      </c>
      <c r="C113" s="193" t="s">
        <v>32</v>
      </c>
      <c r="D113" s="23"/>
      <c r="E113" s="194" t="s">
        <v>165</v>
      </c>
    </row>
    <row r="114" spans="2:10" x14ac:dyDescent="0.15">
      <c r="B114" s="192" t="s">
        <v>164</v>
      </c>
      <c r="C114" s="193" t="s">
        <v>30</v>
      </c>
      <c r="D114" s="23"/>
      <c r="E114" s="194" t="s">
        <v>165</v>
      </c>
    </row>
    <row r="115" spans="2:10" x14ac:dyDescent="0.15">
      <c r="B115" s="192" t="s">
        <v>164</v>
      </c>
      <c r="C115" s="193" t="s">
        <v>29</v>
      </c>
      <c r="D115" s="23"/>
      <c r="E115" s="194" t="s">
        <v>165</v>
      </c>
    </row>
    <row r="116" spans="2:10" x14ac:dyDescent="0.15">
      <c r="B116" s="192" t="s">
        <v>164</v>
      </c>
      <c r="C116" s="193" t="s">
        <v>31</v>
      </c>
      <c r="D116" s="23"/>
      <c r="E116" s="194" t="s">
        <v>165</v>
      </c>
    </row>
    <row r="117" spans="2:10" x14ac:dyDescent="0.15">
      <c r="B117" s="192" t="s">
        <v>164</v>
      </c>
      <c r="C117" s="193" t="s">
        <v>33</v>
      </c>
      <c r="D117" s="191"/>
      <c r="E117" s="194" t="s">
        <v>165</v>
      </c>
    </row>
    <row r="118" spans="2:10" x14ac:dyDescent="0.15">
      <c r="D118" s="34"/>
      <c r="E118" s="34"/>
      <c r="F118" s="34"/>
      <c r="G118" s="34"/>
    </row>
    <row r="119" spans="2:10" x14ac:dyDescent="0.15">
      <c r="B119" s="182" t="s">
        <v>228</v>
      </c>
      <c r="C119" s="178"/>
      <c r="D119" s="178"/>
      <c r="E119" s="178"/>
      <c r="F119" s="178"/>
      <c r="G119" s="178"/>
      <c r="H119" s="178"/>
      <c r="I119" s="178"/>
      <c r="J119" s="178"/>
    </row>
    <row r="120" spans="2:10" ht="30" x14ac:dyDescent="0.2">
      <c r="B120" s="18" t="s">
        <v>198</v>
      </c>
      <c r="C120" s="18" t="s">
        <v>148</v>
      </c>
      <c r="D120" s="51" t="s">
        <v>133</v>
      </c>
      <c r="E120" s="19" t="s">
        <v>204</v>
      </c>
      <c r="F120" s="51" t="s">
        <v>245</v>
      </c>
      <c r="G120" s="20" t="s">
        <v>225</v>
      </c>
      <c r="H120" s="189" t="s">
        <v>224</v>
      </c>
      <c r="I120" s="21" t="s">
        <v>247</v>
      </c>
      <c r="J120" s="21" t="s">
        <v>28</v>
      </c>
    </row>
    <row r="121" spans="2:10" x14ac:dyDescent="0.15">
      <c r="B121" s="22" t="s">
        <v>146</v>
      </c>
      <c r="C121" s="22" t="s">
        <v>32</v>
      </c>
      <c r="D121" s="24">
        <f>SUMIFS(Pat_ausl_Flüge[Anzahl der Besuche (ambulant &amp; stationär durch Patient:innen)],Pat_ausl_Flüge[Region (Zuordnung)],Pat_ausl_ergeb[[#This Row],[Zielland]])</f>
        <v>0</v>
      </c>
      <c r="E121" s="24">
        <v>1500</v>
      </c>
      <c r="F121" s="24">
        <f>Pat_ausl_ergeb[[#This Row],[Anzahl Flüge]]*Pat_ausl_ergeb[[#This Row],[Annahme Entfernung One-Way '[km']]]*2</f>
        <v>0</v>
      </c>
      <c r="G121" s="25">
        <v>0.21099999999999999</v>
      </c>
      <c r="H121" s="26">
        <f>Pat_ausl_ergeb[[#This Row],[Gesamte Distanz 
'[Pkm / Jahr']]]*Pat_ausl_ergeb[[#This Row],[Emissionsfaktor 
'[kg CO2e / Pkm']]]</f>
        <v>0</v>
      </c>
      <c r="I121" s="246" t="s">
        <v>138</v>
      </c>
      <c r="J121" s="34" t="s">
        <v>248</v>
      </c>
    </row>
    <row r="122" spans="2:10" x14ac:dyDescent="0.15">
      <c r="B122" s="22" t="s">
        <v>146</v>
      </c>
      <c r="C122" s="22" t="s">
        <v>30</v>
      </c>
      <c r="D122" s="24">
        <f>SUMIFS(Pat_ausl_Flüge[Anzahl der Besuche (ambulant &amp; stationär durch Patient:innen)],Pat_ausl_Flüge[Region (Zuordnung)],Pat_ausl_ergeb[[#This Row],[Zielland]])</f>
        <v>0</v>
      </c>
      <c r="E122" s="24">
        <v>8000</v>
      </c>
      <c r="F122" s="24">
        <f>Pat_ausl_ergeb[[#This Row],[Anzahl Flüge]]*Pat_ausl_ergeb[[#This Row],[Annahme Entfernung One-Way '[km']]]*2</f>
        <v>0</v>
      </c>
      <c r="G122" s="25">
        <v>0.21299999999999999</v>
      </c>
      <c r="H122" s="26">
        <f>Pat_ausl_ergeb[[#This Row],[Gesamte Distanz 
'[Pkm / Jahr']]]*Pat_ausl_ergeb[[#This Row],[Emissionsfaktor 
'[kg CO2e / Pkm']]]</f>
        <v>0</v>
      </c>
      <c r="I122" s="246" t="s">
        <v>136</v>
      </c>
      <c r="J122" s="34" t="s">
        <v>248</v>
      </c>
    </row>
    <row r="123" spans="2:10" x14ac:dyDescent="0.15">
      <c r="B123" s="22" t="s">
        <v>146</v>
      </c>
      <c r="C123" s="22" t="s">
        <v>29</v>
      </c>
      <c r="D123" s="24">
        <f>SUMIFS(Pat_ausl_Flüge[Anzahl der Besuche (ambulant &amp; stationär durch Patient:innen)],Pat_ausl_Flüge[Region (Zuordnung)],Pat_ausl_ergeb[[#This Row],[Zielland]])</f>
        <v>0</v>
      </c>
      <c r="E123" s="24">
        <v>14000</v>
      </c>
      <c r="F123" s="24">
        <f>Pat_ausl_ergeb[[#This Row],[Anzahl Flüge]]*Pat_ausl_ergeb[[#This Row],[Annahme Entfernung One-Way '[km']]]*2</f>
        <v>0</v>
      </c>
      <c r="G123" s="25">
        <v>0.21299999999999999</v>
      </c>
      <c r="H123" s="26">
        <f>Pat_ausl_ergeb[[#This Row],[Gesamte Distanz 
'[Pkm / Jahr']]]*Pat_ausl_ergeb[[#This Row],[Emissionsfaktor 
'[kg CO2e / Pkm']]]</f>
        <v>0</v>
      </c>
      <c r="I123" s="246" t="s">
        <v>137</v>
      </c>
      <c r="J123" s="34" t="s">
        <v>248</v>
      </c>
    </row>
    <row r="124" spans="2:10" x14ac:dyDescent="0.15">
      <c r="B124" s="22" t="s">
        <v>146</v>
      </c>
      <c r="C124" s="22" t="s">
        <v>31</v>
      </c>
      <c r="D124" s="24">
        <f>SUMIFS(Pat_ausl_Flüge[Anzahl der Besuche (ambulant &amp; stationär durch Patient:innen)],Pat_ausl_Flüge[Region (Zuordnung)],Pat_ausl_ergeb[[#This Row],[Zielland]])</f>
        <v>0</v>
      </c>
      <c r="E124" s="24">
        <v>10000</v>
      </c>
      <c r="F124" s="24">
        <f>Pat_ausl_ergeb[[#This Row],[Anzahl Flüge]]*Pat_ausl_ergeb[[#This Row],[Annahme Entfernung One-Way '[km']]]*2</f>
        <v>0</v>
      </c>
      <c r="G124" s="25">
        <v>0.21299999999999999</v>
      </c>
      <c r="H124" s="26">
        <f>Pat_ausl_ergeb[[#This Row],[Gesamte Distanz 
'[Pkm / Jahr']]]*Pat_ausl_ergeb[[#This Row],[Emissionsfaktor 
'[kg CO2e / Pkm']]]</f>
        <v>0</v>
      </c>
      <c r="I124" s="246" t="s">
        <v>140</v>
      </c>
      <c r="J124" s="34" t="s">
        <v>248</v>
      </c>
    </row>
    <row r="125" spans="2:10" x14ac:dyDescent="0.15">
      <c r="B125" s="22" t="s">
        <v>146</v>
      </c>
      <c r="C125" s="22" t="s">
        <v>33</v>
      </c>
      <c r="D125" s="24">
        <f>SUMIFS(Pat_ausl_Flüge[Anzahl der Besuche (ambulant &amp; stationär durch Patient:innen)],Pat_ausl_Flüge[Region (Zuordnung)],Pat_ausl_ergeb[[#This Row],[Zielland]])</f>
        <v>0</v>
      </c>
      <c r="E125" s="24">
        <v>17000</v>
      </c>
      <c r="F125" s="24">
        <f>Pat_ausl_ergeb[[#This Row],[Anzahl Flüge]]*Pat_ausl_ergeb[[#This Row],[Annahme Entfernung One-Way '[km']]]*2</f>
        <v>0</v>
      </c>
      <c r="G125" s="25">
        <v>0.21299999999999999</v>
      </c>
      <c r="H125" s="26">
        <f>Pat_ausl_ergeb[[#This Row],[Gesamte Distanz 
'[Pkm / Jahr']]]*Pat_ausl_ergeb[[#This Row],[Emissionsfaktor 
'[kg CO2e / Pkm']]]</f>
        <v>0</v>
      </c>
      <c r="I125" s="246" t="s">
        <v>142</v>
      </c>
      <c r="J125" s="34" t="s">
        <v>248</v>
      </c>
    </row>
    <row r="126" spans="2:10" x14ac:dyDescent="0.15">
      <c r="B126" s="150" t="s">
        <v>131</v>
      </c>
      <c r="C126" s="150"/>
      <c r="D126" s="153">
        <f>SUBTOTAL(109,Pat_ausl_ergeb[Anzahl Flüge])</f>
        <v>0</v>
      </c>
      <c r="E126" s="151"/>
      <c r="F126" s="151"/>
      <c r="G126" s="2"/>
      <c r="H126" s="152">
        <f>SUBTOTAL(109,Pat_ausl_ergeb[Ergebnis 
'[kg CO2e / Jahr']])</f>
        <v>0</v>
      </c>
      <c r="I126" s="41"/>
      <c r="J126" s="27"/>
    </row>
    <row r="127" spans="2:10" x14ac:dyDescent="0.15">
      <c r="D127" s="34"/>
      <c r="E127" s="34"/>
      <c r="F127" s="34"/>
      <c r="G127" s="34"/>
    </row>
    <row r="128" spans="2:10" ht="5" customHeight="1" x14ac:dyDescent="0.15">
      <c r="D128" s="34"/>
      <c r="E128" s="34"/>
      <c r="F128" s="34"/>
      <c r="G128" s="34"/>
    </row>
    <row r="129" spans="1:14" x14ac:dyDescent="0.15">
      <c r="A129" s="42" t="s">
        <v>227</v>
      </c>
      <c r="B129" s="43"/>
      <c r="C129" s="43"/>
      <c r="D129" s="44"/>
      <c r="E129" s="44"/>
      <c r="F129" s="44"/>
      <c r="G129" s="44"/>
      <c r="H129" s="44"/>
      <c r="I129" s="44"/>
      <c r="J129" s="44"/>
      <c r="K129" s="44"/>
      <c r="L129" s="43"/>
      <c r="M129" s="45"/>
    </row>
    <row r="130" spans="1:14" x14ac:dyDescent="0.15">
      <c r="A130" s="27"/>
      <c r="D130" s="34"/>
      <c r="E130" s="34"/>
      <c r="F130" s="34"/>
      <c r="G130" s="34"/>
    </row>
    <row r="131" spans="1:14" ht="30" x14ac:dyDescent="0.2">
      <c r="A131" s="27"/>
      <c r="B131" s="18" t="s">
        <v>209</v>
      </c>
      <c r="C131" s="18" t="s">
        <v>163</v>
      </c>
      <c r="D131" s="61" t="s">
        <v>128</v>
      </c>
      <c r="E131" s="66" t="s">
        <v>166</v>
      </c>
      <c r="F131" s="66" t="s">
        <v>167</v>
      </c>
      <c r="G131" s="66" t="s">
        <v>213</v>
      </c>
      <c r="H131" s="189" t="s">
        <v>224</v>
      </c>
      <c r="I131" s="27"/>
      <c r="J131" s="27"/>
      <c r="K131" s="27"/>
    </row>
    <row r="132" spans="1:14" ht="12.75" customHeight="1" x14ac:dyDescent="0.15">
      <c r="B132" s="22" t="s">
        <v>271</v>
      </c>
      <c r="C132" s="22" t="s">
        <v>210</v>
      </c>
      <c r="D132" s="2"/>
      <c r="E132" s="2"/>
      <c r="F132" s="2"/>
      <c r="G132" s="2"/>
      <c r="H132" s="26">
        <f>pat_notf_heli[[#Totals],[Ergebnis 
'[kg CO2e / Jahr']]]</f>
        <v>0</v>
      </c>
    </row>
    <row r="133" spans="1:14" ht="12.75" customHeight="1" x14ac:dyDescent="0.15">
      <c r="B133" s="22" t="s">
        <v>272</v>
      </c>
      <c r="C133" s="22" t="s">
        <v>211</v>
      </c>
      <c r="D133" s="2"/>
      <c r="E133" s="2"/>
      <c r="F133" s="2"/>
      <c r="G133" s="2"/>
      <c r="H133" s="26">
        <f ca="1">pat_inl_ergeb[[#Totals],[Ergebnis 
'[kg CO2e / Jahr']]]</f>
        <v>0</v>
      </c>
    </row>
    <row r="134" spans="1:14" ht="12.75" customHeight="1" x14ac:dyDescent="0.2">
      <c r="B134" s="28" t="s">
        <v>272</v>
      </c>
      <c r="C134" s="28" t="s">
        <v>212</v>
      </c>
      <c r="D134" s="2"/>
      <c r="E134" s="2"/>
      <c r="F134" s="2"/>
      <c r="G134" s="2"/>
      <c r="H134" s="31">
        <f>Pat_ausl_ergeb[[#Totals],[Ergebnis 
'[kg CO2e / Jahr']]]</f>
        <v>0</v>
      </c>
      <c r="J134"/>
      <c r="K134"/>
      <c r="L134"/>
      <c r="M134"/>
      <c r="N134"/>
    </row>
    <row r="135" spans="1:14" ht="12.75" customHeight="1" x14ac:dyDescent="0.2">
      <c r="B135" s="28" t="s">
        <v>226</v>
      </c>
      <c r="C135" s="28"/>
      <c r="D135" s="2"/>
      <c r="E135" s="2"/>
      <c r="F135" s="2"/>
      <c r="G135" s="2"/>
      <c r="H135" s="31">
        <f ca="1">SUBTOTAL(109,pat_mobi_gesamt[Ergebnis 
'[kg CO2e / Jahr']])</f>
        <v>0</v>
      </c>
      <c r="I135" s="317" t="s">
        <v>279</v>
      </c>
      <c r="J135" s="318"/>
      <c r="K135" s="318"/>
      <c r="L135"/>
      <c r="M135"/>
      <c r="N135"/>
    </row>
  </sheetData>
  <sheetProtection algorithmName="SHA-512" hashValue="qnF3+ps71z8akvGK3UDDkFMG+cdLOKRzNu01ajph8+2CYFTRcSgaPPsJjdUGYROL8hx6wj+SwGIRkS2uUtpAkA==" saltValue="ZJabwNmKL+QEG2e6Bwa9/A==" spinCount="100000" sheet="1" objects="1" scenarios="1" selectLockedCells="1"/>
  <protectedRanges>
    <protectedRange algorithmName="SHA-512" hashValue="HW+jLE+154B9KqWkeGAjoQGcbCLd25RHAZXlaIQX5MUmwwMbjrtqF8YUmDXNPVBooznIP9rmMBkXTeOfluMf7g==" saltValue="K3MEbatdHAsrcGXHTjqdlg==" spinCount="100000" sqref="D64:D117" name="Flugziele_Pat"/>
    <protectedRange sqref="D43:D52 D21 D40" name="Notfallkontakte"/>
    <protectedRange sqref="E21" name="Notfallkontakte_Anpassung"/>
  </protectedRanges>
  <mergeCells count="7">
    <mergeCell ref="A15:M15"/>
    <mergeCell ref="I135:K135"/>
    <mergeCell ref="B2:L2"/>
    <mergeCell ref="B3:L3"/>
    <mergeCell ref="B4:L6"/>
    <mergeCell ref="D8:D12"/>
    <mergeCell ref="H8:H12"/>
  </mergeCells>
  <dataValidations count="3">
    <dataValidation allowBlank="1" showInputMessage="1" sqref="H120 H20 H56 H131" xr:uid="{00000000-0002-0000-0300-000000000000}"/>
    <dataValidation type="list" allowBlank="1" showInputMessage="1" showErrorMessage="1" sqref="B43:C52 B57:C57 F57:G57" xr:uid="{00000000-0002-0000-0300-000001000000}">
      <formula1>PLZ_Gebiet_klug</formula1>
    </dataValidation>
    <dataValidation type="list" allowBlank="1" showInputMessage="1" showErrorMessage="1" sqref="D40" xr:uid="{00000000-0002-0000-0300-000002000000}">
      <formula1>$B$43:$B$52</formula1>
    </dataValidation>
  </dataValidations>
  <pageMargins left="0.7" right="0.7" top="0.78740157499999996" bottom="0.78740157499999996" header="0.3" footer="0.3"/>
  <pageSetup paperSize="9" orientation="portrait" r:id="rId1"/>
  <ignoredErrors>
    <ignoredError sqref="F44:F52" calculatedColumn="1"/>
  </ignoredErrors>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Anästhesiegase</vt:lpstr>
      <vt:lpstr>Geschäftsreisen 2023</vt:lpstr>
      <vt:lpstr>Mobilität Mitarbeitende 2023</vt:lpstr>
      <vt:lpstr>Mobilität Patientinnen 2023</vt:lpstr>
      <vt:lpstr>'Mobilität Patientinnen 2023'!Result_Scope3_P_Mobilität_Notfall_Helikoper</vt:lpstr>
      <vt:lpstr>Result_Scope3_P_Mobilität_Notfall_Helikoper</vt:lpstr>
      <vt:lpstr>'Mobilität Patientinnen 2023'!Result_Scope3_Patient_Regelkontakte_innerhalb_DE</vt:lpstr>
      <vt:lpstr>Result_Scope3_Patient_Regelkontakte_innerhalb_DE</vt:lpstr>
    </vt:vector>
  </TitlesOfParts>
  <Company>Universitätsklinikum Freiburg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Hilfsexcel KliMeG-Rechner zu Bilanzierung von Kliniken Version 1.1</dc:title>
  <dc:creator>leonard.terres@uniklinik-freiburg.de;bernd.franke@ifeu.de;claudia.quitmann@uni-heidelberg.de</dc:creator>
  <cp:lastModifiedBy>Emma Mae Reynolds</cp:lastModifiedBy>
  <dcterms:created xsi:type="dcterms:W3CDTF">2023-05-02T11:21:43Z</dcterms:created>
  <dcterms:modified xsi:type="dcterms:W3CDTF">2025-07-29T13:18:24Z</dcterms:modified>
</cp:coreProperties>
</file>